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52" yWindow="96" windowWidth="13368" windowHeight="11640" tabRatio="905" firstSheet="3" activeTab="11"/>
  </bookViews>
  <sheets>
    <sheet name="Summary Table" sheetId="24" r:id="rId1"/>
    <sheet name="Bike Sharing CBA" sheetId="4" r:id="rId2"/>
    <sheet name="Bike-sharing CB Chart" sheetId="19" r:id="rId3"/>
    <sheet name="Cost Assumptions" sheetId="25" r:id="rId4"/>
    <sheet name="Bike Ops (existing DC bikes)" sheetId="26" r:id="rId5"/>
    <sheet name="Bike Operating Assumptions" sheetId="9" r:id="rId6"/>
    <sheet name="Bikestations" sheetId="28" r:id="rId7"/>
    <sheet name="Bike Crash Data" sheetId="21" r:id="rId8"/>
    <sheet name="Bike Mode Shifts" sheetId="16" r:id="rId9"/>
    <sheet name="Auto Operating Assumptions" sheetId="5" r:id="rId10"/>
    <sheet name="Other Mode Assumptions" sheetId="3" r:id="rId11"/>
    <sheet name="Emissions Assumptions" sheetId="10" r:id="rId12"/>
    <sheet name="Price Assumptions" sheetId="7" r:id="rId13"/>
    <sheet name="Basic Assumptions" sheetId="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2__Ball_Valve" localSheetId="4">#REF!</definedName>
    <definedName name="_2__Ball_Valve" localSheetId="6">#REF!</definedName>
    <definedName name="_2__Ball_Valve">#REF!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0.95</definedName>
    <definedName name="_AtRisk_SimSetting_ConvergencePerformMeanTest" hidden="1">TRUE</definedName>
    <definedName name="_AtRisk_SimSetting_ConvergencePerformPercentileTest" hidden="1">TRUE</definedName>
    <definedName name="_AtRisk_SimSetting_ConvergencePerformStdDeviationTest" hidden="1">TRUE</definedName>
    <definedName name="_AtRisk_SimSetting_ConvergenceTestAllOutputs" hidden="1">TRUE</definedName>
    <definedName name="_AtRisk_SimSetting_ConvergenceTestingPeriod" hidden="1">100</definedName>
    <definedName name="_AtRisk_SimSetting_ConvergenceTolerance" hidden="1">0.005</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520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1</definedName>
    <definedName name="_AtRisk_SimSetting_StdRecalcWithoutRiskStaticPercentile" hidden="1">0.5</definedName>
    <definedName name="_CSS1">[1]MASTER!$A$1:$IV$10</definedName>
    <definedName name="_Fill" localSheetId="4" hidden="1">#REF!</definedName>
    <definedName name="_Fill" localSheetId="6" hidden="1">#REF!</definedName>
    <definedName name="_Fill" hidden="1">#REF!</definedName>
    <definedName name="_Order1" hidden="1">255</definedName>
    <definedName name="_Order2" hidden="1">255</definedName>
    <definedName name="a0" localSheetId="4">#REF!</definedName>
    <definedName name="a0" localSheetId="6">#REF!</definedName>
    <definedName name="a0">#REF!</definedName>
    <definedName name="adj" localSheetId="4">#REF!</definedName>
    <definedName name="adj" localSheetId="6">#REF!</definedName>
    <definedName name="adj">#REF!</definedName>
    <definedName name="aes">'[2]Lookup Summary'!$D$2</definedName>
    <definedName name="ALLOFIT" localSheetId="4">#REF!</definedName>
    <definedName name="ALLOFIT" localSheetId="6">#REF!</definedName>
    <definedName name="ALLOFIT">#REF!</definedName>
    <definedName name="Alternative_Bool" localSheetId="4">#REF!</definedName>
    <definedName name="Alternative_Bool" localSheetId="6">#REF!</definedName>
    <definedName name="Alternative_Bool">#REF!</definedName>
    <definedName name="ann_fac">[3]Assumptions!$H$18</definedName>
    <definedName name="AnnFactor">[4]Assumptions!$I$3</definedName>
    <definedName name="AREA" localSheetId="4">#REF!</definedName>
    <definedName name="AREA" localSheetId="6">#REF!</definedName>
    <definedName name="AREA">#REF!</definedName>
    <definedName name="AvgRunSS">[5]AvgRunSS!$A$2:$U$119</definedName>
    <definedName name="BaseCaseCash">OFFSET('[6]Sched&amp;Cost #4'!$R$86,0,0,1,COUNTA('[6]Sched&amp;Cost #4'!$R$88:$DU$88))</definedName>
    <definedName name="BaseCaseDate">OFFSET('[6]Sched&amp;Cost #4'!$R$46,0,0,1,COUNTA('[6]Sched&amp;Cost #4'!$R$88:$DU$88))</definedName>
    <definedName name="BIG" localSheetId="12" hidden="1">{#N/A,#N/A,FALSE,"Pricing";#N/A,#N/A,FALSE,"Summary";#N/A,#N/A,FALSE,"CompProd";#N/A,#N/A,FALSE,"CompJobhrs";#N/A,#N/A,FALSE,"Escalation";#N/A,#N/A,FALSE,"Contingency";#N/A,#N/A,FALSE,"GM";#N/A,#N/A,FALSE,"CompWage";#N/A,#N/A,FALSE,"costSum"}</definedName>
    <definedName name="BIG" hidden="1">{#N/A,#N/A,FALSE,"Pricing";#N/A,#N/A,FALSE,"Summary";#N/A,#N/A,FALSE,"CompProd";#N/A,#N/A,FALSE,"CompJobhrs";#N/A,#N/A,FALSE,"Escalation";#N/A,#N/A,FALSE,"Contingency";#N/A,#N/A,FALSE,"GM";#N/A,#N/A,FALSE,"CompWage";#N/A,#N/A,FALSE,"costSum"}</definedName>
    <definedName name="Binomial" localSheetId="4">#REF!</definedName>
    <definedName name="Binomial" localSheetId="6">#REF!</definedName>
    <definedName name="Binomial">#REF!</definedName>
    <definedName name="Choices_Wrapper">#N/A</definedName>
    <definedName name="CHUCK" localSheetId="12" hidden="1">{#N/A,#N/A,FALSE,"Pricing";#N/A,#N/A,FALSE,"Summary";#N/A,#N/A,FALSE,"CompProd";#N/A,#N/A,FALSE,"CompJobhrs";#N/A,#N/A,FALSE,"Escalation";#N/A,#N/A,FALSE,"Contingency";#N/A,#N/A,FALSE,"GM";#N/A,#N/A,FALSE,"CompWage";#N/A,#N/A,FALSE,"costSum"}</definedName>
    <definedName name="CHUCK" hidden="1">{#N/A,#N/A,FALSE,"Pricing";#N/A,#N/A,FALSE,"Summary";#N/A,#N/A,FALSE,"CompProd";#N/A,#N/A,FALSE,"CompJobhrs";#N/A,#N/A,FALSE,"Escalation";#N/A,#N/A,FALSE,"Contingency";#N/A,#N/A,FALSE,"GM";#N/A,#N/A,FALSE,"CompWage";#N/A,#N/A,FALSE,"costSum"}</definedName>
    <definedName name="cl" localSheetId="4">#REF!</definedName>
    <definedName name="cl" localSheetId="6">#REF!</definedName>
    <definedName name="cl">#REF!</definedName>
    <definedName name="constructioncost">'[4]Annual Costs'!$C$25:$BZ$30</definedName>
    <definedName name="Contracts_Set">[7]Lookup!$E$2:$E$6</definedName>
    <definedName name="Cost_Look">'[4]Opening Years'!$D$29:$E$46</definedName>
    <definedName name="CSS">[1]MASTER!$A$1:$IV$10</definedName>
    <definedName name="discountrate">[4]Assumptions!$I$5</definedName>
    <definedName name="discrate" localSheetId="4">#REF!</definedName>
    <definedName name="discrate" localSheetId="6">#REF!</definedName>
    <definedName name="discrate">#REF!</definedName>
    <definedName name="ELEC">[8]MASTER!$A$1:$IV$10</definedName>
    <definedName name="EndConst" localSheetId="4">#REF!</definedName>
    <definedName name="EndConst" localSheetId="6">#REF!</definedName>
    <definedName name="EndConst">#REF!</definedName>
    <definedName name="ff">[4]Assumptions!$I$82</definedName>
    <definedName name="FF_Look">'[4]Traffic Data'!$A$133:$B$148</definedName>
    <definedName name="filterELECTRSUB">[9]ELECTRSUB!$AD$6:$AD$65536</definedName>
    <definedName name="fog" localSheetId="4">#REF!</definedName>
    <definedName name="fog" localSheetId="6">#REF!</definedName>
    <definedName name="fog">#REF!</definedName>
    <definedName name="FormB">'[10]Attachment No. 3'!$A$1:$G$58</definedName>
    <definedName name="gggggg" localSheetId="4">#REF!</definedName>
    <definedName name="gggggg" localSheetId="6">#REF!</definedName>
    <definedName name="gggggg">#REF!</definedName>
    <definedName name="goodjuju" localSheetId="4">#REF!</definedName>
    <definedName name="goodjuju" localSheetId="6">#REF!</definedName>
    <definedName name="goodjuju">#REF!</definedName>
    <definedName name="gr">'[2]Lookup Summary'!$D$3</definedName>
    <definedName name="increase">[11]inflation!$D$8</definedName>
    <definedName name="Input" localSheetId="4">#REF!</definedName>
    <definedName name="Input" localSheetId="6">#REF!</definedName>
    <definedName name="Input">#REF!</definedName>
    <definedName name="JANA" localSheetId="12" hidden="1">{#N/A,#N/A,FALSE,"Pricing";#N/A,#N/A,FALSE,"Summary";#N/A,#N/A,FALSE,"CompProd";#N/A,#N/A,FALSE,"CompJobhrs";#N/A,#N/A,FALSE,"Escalation";#N/A,#N/A,FALSE,"Contingency";#N/A,#N/A,FALSE,"GM";#N/A,#N/A,FALSE,"CompWage";#N/A,#N/A,FALSE,"costSum"}</definedName>
    <definedName name="JANA" hidden="1">{#N/A,#N/A,FALSE,"Pricing";#N/A,#N/A,FALSE,"Summary";#N/A,#N/A,FALSE,"CompProd";#N/A,#N/A,FALSE,"CompJobhrs";#N/A,#N/A,FALSE,"Escalation";#N/A,#N/A,FALSE,"Contingency";#N/A,#N/A,FALSE,"GM";#N/A,#N/A,FALSE,"CompWage";#N/A,#N/A,FALSE,"costSum"}</definedName>
    <definedName name="LabMatSub" localSheetId="4">#REF!</definedName>
    <definedName name="LabMatSub" localSheetId="6">#REF!</definedName>
    <definedName name="LabMatSub">#REF!</definedName>
    <definedName name="lane" localSheetId="4">#REF!</definedName>
    <definedName name="lane" localSheetId="6">#REF!</definedName>
    <definedName name="lane">#REF!</definedName>
    <definedName name="LDGV">[4]emissionLookup!$B$12:$H$85</definedName>
    <definedName name="list_alt">'[4]Opening Years'!$D$6:$D$23</definedName>
    <definedName name="list_open">'[4]Opening Years'!$D$5:$E$23</definedName>
    <definedName name="ll" localSheetId="4">#REF!</definedName>
    <definedName name="ll" localSheetId="6">#REF!</definedName>
    <definedName name="ll">#REF!</definedName>
    <definedName name="LowHigh" localSheetId="4">#REF!</definedName>
    <definedName name="LowHigh" localSheetId="6">#REF!</definedName>
    <definedName name="LowHigh">#REF!</definedName>
    <definedName name="ModuleList">#N/A</definedName>
    <definedName name="NewMatrix">'[12]@RISK Correlations'!$C$5:$N$16</definedName>
    <definedName name="No_Two_Hrs" localSheetId="4">[13]ESTIMATE_bu!#REF!</definedName>
    <definedName name="No_Two_Hrs" localSheetId="6">[13]ESTIMATE_bu!#REF!</definedName>
    <definedName name="No_Two_Hrs">[13]ESTIMATE_bu!#REF!</definedName>
    <definedName name="No_Two_Mtl" localSheetId="4">[13]ESTIMATE_bu!#REF!</definedName>
    <definedName name="No_Two_Mtl" localSheetId="6">[13]ESTIMATE_bu!#REF!</definedName>
    <definedName name="No_Two_Mtl">[13]ESTIMATE_bu!#REF!</definedName>
    <definedName name="OMcost">'[4]Annual Costs'!$C$42:$BZ$47</definedName>
    <definedName name="One_Ot_Hrs" localSheetId="4">[13]ESTIMATE_bu!#REF!</definedName>
    <definedName name="One_Ot_Hrs" localSheetId="6">[13]ESTIMATE_bu!#REF!</definedName>
    <definedName name="One_Ot_Hrs">[13]ESTIMATE_bu!#REF!</definedName>
    <definedName name="One_Ot_Mtl" localSheetId="4">[13]ESTIMATE_bu!#REF!</definedName>
    <definedName name="One_Ot_Mtl" localSheetId="6">[13]ESTIMATE_bu!#REF!</definedName>
    <definedName name="One_Ot_Mtl">[13]ESTIMATE_bu!#REF!</definedName>
    <definedName name="premium" localSheetId="4">#REF!</definedName>
    <definedName name="premium" localSheetId="6">#REF!</definedName>
    <definedName name="premium">#REF!</definedName>
    <definedName name="PRINT">[14]MASTER!$A$1:$IV$10</definedName>
    <definedName name="_xlnm.Print_Area" localSheetId="4">#REF!</definedName>
    <definedName name="_xlnm.Print_Area" localSheetId="6">#REF!</definedName>
    <definedName name="_xlnm.Print_Area">#REF!</definedName>
    <definedName name="PRINT_AREA_MI" localSheetId="4">#REF!</definedName>
    <definedName name="PRINT_AREA_MI" localSheetId="6">#REF!</definedName>
    <definedName name="PRINT_AREA_MI">#REF!</definedName>
    <definedName name="PRINT_AREA_MI1" localSheetId="4">#REF!</definedName>
    <definedName name="PRINT_AREA_MI1" localSheetId="6">#REF!</definedName>
    <definedName name="PRINT_AREA_MI1">#REF!</definedName>
    <definedName name="Print_Area1" localSheetId="4">#REF!</definedName>
    <definedName name="Print_Area1" localSheetId="6">#REF!</definedName>
    <definedName name="Print_Area1">#REF!</definedName>
    <definedName name="_xlnm.Print_Titles">'[10]#REF'!$A$1:$IV$10</definedName>
    <definedName name="PRINT_TITLES_MI" localSheetId="4">#REF!</definedName>
    <definedName name="PRINT_TITLES_MI" localSheetId="6">#REF!</definedName>
    <definedName name="PRINT_TITLES_MI">#REF!</definedName>
    <definedName name="PRINT_TITLES_MI1" localSheetId="4">#REF!</definedName>
    <definedName name="PRINT_TITLES_MI1" localSheetId="6">#REF!</definedName>
    <definedName name="PRINT_TITLES_MI1">#REF!</definedName>
    <definedName name="Print_Titles1" localSheetId="4">#REF!</definedName>
    <definedName name="Print_Titles1" localSheetId="6">#REF!</definedName>
    <definedName name="Print_Titles1">#REF!</definedName>
    <definedName name="PRINT1">[14]MASTER!$A$1:$IV$10</definedName>
    <definedName name="RiskAfterRecalcMacro" hidden="1">"risky_CP"</definedName>
    <definedName name="RiskAfterSimMacro" hidden="1">""</definedName>
    <definedName name="RiskAutoStopPercChange">1.5</definedName>
    <definedName name="RiskBeforeRecalcMacro" hidden="1">"macro3"</definedName>
    <definedName name="RiskBeforeSimMacro" hidden="1">""</definedName>
    <definedName name="RiskCollectDistributionSamples" hidden="1">0</definedName>
    <definedName name="RiskCorrelationSheet">'[12]@RISK Correlations'!$A$1:$IV$1</definedName>
    <definedName name="RiskExcelReportsGoInNewWorkbook">TRUE</definedName>
    <definedName name="RiskExcelReportsToGenerate">32</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0</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Services2" localSheetId="12" hidden="1">{#N/A,#N/A,FALSE,"Pricing";#N/A,#N/A,FALSE,"Summary";#N/A,#N/A,FALSE,"CompProd";#N/A,#N/A,FALSE,"CompJobhrs";#N/A,#N/A,FALSE,"Escalation";#N/A,#N/A,FALSE,"Contingency";#N/A,#N/A,FALSE,"GM";#N/A,#N/A,FALSE,"CompWage";#N/A,#N/A,FALSE,"costSum"}</definedName>
    <definedName name="Services2" hidden="1">{#N/A,#N/A,FALSE,"Pricing";#N/A,#N/A,FALSE,"Summary";#N/A,#N/A,FALSE,"CompProd";#N/A,#N/A,FALSE,"CompJobhrs";#N/A,#N/A,FALSE,"Escalation";#N/A,#N/A,FALSE,"Contingency";#N/A,#N/A,FALSE,"GM";#N/A,#N/A,FALSE,"CompWage";#N/A,#N/A,FALSE,"costSum"}</definedName>
    <definedName name="splice_hrs" localSheetId="4">[13]ESTIMATE_bu!#REF!</definedName>
    <definedName name="splice_hrs" localSheetId="6">[13]ESTIMATE_bu!#REF!</definedName>
    <definedName name="splice_hrs">[13]ESTIMATE_bu!#REF!</definedName>
    <definedName name="splice_mtl" localSheetId="4">[13]ESTIMATE_bu!#REF!</definedName>
    <definedName name="splice_mtl" localSheetId="6">[13]ESTIMATE_bu!#REF!</definedName>
    <definedName name="splice_mtl">[13]ESTIMATE_bu!#REF!</definedName>
    <definedName name="stop" localSheetId="4">#REF!</definedName>
    <definedName name="stop" localSheetId="6">#REF!</definedName>
    <definedName name="stop">#REF!</definedName>
    <definedName name="Techsupport" localSheetId="4">#REF!</definedName>
    <definedName name="Techsupport" localSheetId="6">#REF!</definedName>
    <definedName name="Techsupport">#REF!</definedName>
    <definedName name="temp" localSheetId="12" hidden="1">{#N/A,#N/A,FALSE,"Pricing";#N/A,#N/A,FALSE,"Summary";#N/A,#N/A,FALSE,"CompProd";#N/A,#N/A,FALSE,"CompJobhrs";#N/A,#N/A,FALSE,"Escalation";#N/A,#N/A,FALSE,"Contingency";#N/A,#N/A,FALSE,"GM";#N/A,#N/A,FALSE,"CompWage";#N/A,#N/A,FALSE,"costSum"}</definedName>
    <definedName name="temp" hidden="1">{#N/A,#N/A,FALSE,"Pricing";#N/A,#N/A,FALSE,"Summary";#N/A,#N/A,FALSE,"CompProd";#N/A,#N/A,FALSE,"CompJobhrs";#N/A,#N/A,FALSE,"Escalation";#N/A,#N/A,FALSE,"Contingency";#N/A,#N/A,FALSE,"GM";#N/A,#N/A,FALSE,"CompWage";#N/A,#N/A,FALSE,"costSum"}</definedName>
    <definedName name="test" localSheetId="12" hidden="1">{#N/A,#N/A,FALSE,"Pricing";#N/A,#N/A,FALSE,"Summary";#N/A,#N/A,FALSE,"CompProd";#N/A,#N/A,FALSE,"CompJobhrs";#N/A,#N/A,FALSE,"Escalation";#N/A,#N/A,FALSE,"Contingency";#N/A,#N/A,FALSE,"GM";#N/A,#N/A,FALSE,"CompWage";#N/A,#N/A,FALSE,"costSum"}</definedName>
    <definedName name="test" hidden="1">{#N/A,#N/A,FALSE,"Pricing";#N/A,#N/A,FALSE,"Summary";#N/A,#N/A,FALSE,"CompProd";#N/A,#N/A,FALSE,"CompJobhrs";#N/A,#N/A,FALSE,"Escalation";#N/A,#N/A,FALSE,"Contingency";#N/A,#N/A,FALSE,"GM";#N/A,#N/A,FALSE,"CompWage";#N/A,#N/A,FALSE,"costSum"}</definedName>
    <definedName name="TITLE" localSheetId="4">#REF!</definedName>
    <definedName name="TITLE" localSheetId="6">#REF!</definedName>
    <definedName name="TITLE">#REF!</definedName>
    <definedName name="totalsquarefeet" localSheetId="4">#REF!</definedName>
    <definedName name="totalsquarefeet" localSheetId="6">#REF!</definedName>
    <definedName name="totalsquarefeet">#REF!</definedName>
    <definedName name="UPPERB48" localSheetId="4">#REF!</definedName>
    <definedName name="UPPERB48" localSheetId="6">#REF!</definedName>
    <definedName name="UPPERB48">#REF!</definedName>
    <definedName name="uPPERB54" localSheetId="4">#REF!</definedName>
    <definedName name="uPPERB54" localSheetId="6">#REF!</definedName>
    <definedName name="uPPERB54">#REF!</definedName>
    <definedName name="ValidCosts">'[15]Look Up Table'!$A$9:$A$25</definedName>
    <definedName name="Variables_Set">[16]Lookup!$B$35:$C$144</definedName>
    <definedName name="vht_look2">'[4]Traffic Data'!$A$69:$CD$84</definedName>
    <definedName name="vmt_look2">'[4]Traffic Data'!$A$48:$CD$63</definedName>
    <definedName name="WageRatePopUp">#N/A</definedName>
    <definedName name="webpage" localSheetId="4">#REF!</definedName>
    <definedName name="webpage" localSheetId="6">#REF!</definedName>
    <definedName name="webpage">#REF!</definedName>
    <definedName name="wrn.all." localSheetId="12" hidden="1">{#N/A,#N/A,FALSE,"Pricing";#N/A,#N/A,FALSE,"Summary";#N/A,#N/A,FALSE,"CompProd";#N/A,#N/A,FALSE,"CompJobhrs";#N/A,#N/A,FALSE,"Escalation";#N/A,#N/A,FALSE,"Contingency";#N/A,#N/A,FALSE,"GM";#N/A,#N/A,FALSE,"CompWage";#N/A,#N/A,FALSE,"costSum"}</definedName>
    <definedName name="wrn.all." hidden="1">{#N/A,#N/A,FALSE,"Pricing";#N/A,#N/A,FALSE,"Summary";#N/A,#N/A,FALSE,"CompProd";#N/A,#N/A,FALSE,"CompJobhrs";#N/A,#N/A,FALSE,"Escalation";#N/A,#N/A,FALSE,"Contingency";#N/A,#N/A,FALSE,"GM";#N/A,#N/A,FALSE,"CompWage";#N/A,#N/A,FALSE,"costSum"}</definedName>
    <definedName name="wrn.ESTIMATE." localSheetId="12" hidden="1">{#N/A,#N/A,FALSE,"SUM";#N/A,#N/A,FALSE,"MECH.";#N/A,#N/A,FALSE,"PIPE";#N/A,#N/A,FALSE,"ELECT";#N/A,#N/A,FALSE,"PR CONT";#N/A,#N/A,FALSE,"STRUCT"}</definedName>
    <definedName name="wrn.ESTIMATE." hidden="1">{#N/A,#N/A,FALSE,"SUM";#N/A,#N/A,FALSE,"MECH.";#N/A,#N/A,FALSE,"PIPE";#N/A,#N/A,FALSE,"ELECT";#N/A,#N/A,FALSE,"PR CONT";#N/A,#N/A,FALSE,"STRUCT"}</definedName>
    <definedName name="wrn.Labor._.Cost._.Workbook." localSheetId="12" hidden="1">{#N/A,#N/A,FALSE,"RATES";#N/A,#N/A,FALSE,"LOADED RATES"}</definedName>
    <definedName name="wrn.Labor._.Cost._.Workbook." hidden="1">{#N/A,#N/A,FALSE,"RATES";#N/A,#N/A,FALSE,"LOADED RATES"}</definedName>
    <definedName name="xwalk" localSheetId="4">#REF!</definedName>
    <definedName name="xwalk" localSheetId="6">#REF!</definedName>
    <definedName name="xwalk">#REF!</definedName>
  </definedNames>
  <calcPr calcId="145621"/>
</workbook>
</file>

<file path=xl/calcChain.xml><?xml version="1.0" encoding="utf-8"?>
<calcChain xmlns="http://schemas.openxmlformats.org/spreadsheetml/2006/main">
  <c r="F41" i="21" l="1"/>
  <c r="F42" i="21"/>
  <c r="F43" i="21"/>
  <c r="F44" i="21"/>
  <c r="F45" i="21"/>
  <c r="F40" i="21"/>
  <c r="B46" i="21"/>
  <c r="B38" i="21"/>
  <c r="E41" i="21"/>
  <c r="E42" i="21"/>
  <c r="E43" i="21"/>
  <c r="E44" i="21"/>
  <c r="E45" i="21"/>
  <c r="E40" i="21"/>
  <c r="W56" i="9"/>
  <c r="W57" i="9"/>
  <c r="W55" i="9" s="1"/>
  <c r="W23" i="28"/>
  <c r="V23" i="28"/>
  <c r="U23" i="28"/>
  <c r="T23" i="28"/>
  <c r="S23" i="28"/>
  <c r="R23" i="28"/>
  <c r="Q23" i="28"/>
  <c r="P23" i="28"/>
  <c r="O23" i="28"/>
  <c r="N23" i="28"/>
  <c r="M23" i="28"/>
  <c r="L23" i="28"/>
  <c r="K23" i="28"/>
  <c r="J23" i="28"/>
  <c r="I23" i="28"/>
  <c r="H23" i="28"/>
  <c r="G23" i="28"/>
  <c r="F23" i="28"/>
  <c r="E23" i="28"/>
  <c r="W59" i="9" l="1"/>
  <c r="F46" i="21"/>
  <c r="E46" i="21"/>
  <c r="Y16" i="4" l="1"/>
  <c r="X16" i="4"/>
  <c r="W16" i="4"/>
  <c r="V16" i="4"/>
  <c r="U16" i="4"/>
  <c r="T16" i="4"/>
  <c r="S16" i="4"/>
  <c r="R16" i="4"/>
  <c r="Q16" i="4"/>
  <c r="P16" i="4"/>
  <c r="O16" i="4"/>
  <c r="N16" i="4"/>
  <c r="M16" i="4"/>
  <c r="L16" i="4"/>
  <c r="K16" i="4"/>
  <c r="J16" i="4"/>
  <c r="I16" i="4"/>
  <c r="H16" i="4"/>
  <c r="G16" i="4"/>
  <c r="F16" i="4"/>
  <c r="V37" i="3"/>
  <c r="U37" i="3"/>
  <c r="T37" i="3"/>
  <c r="S37" i="3"/>
  <c r="R37" i="3"/>
  <c r="Q37" i="3"/>
  <c r="P37" i="3"/>
  <c r="O37" i="3"/>
  <c r="N37" i="3"/>
  <c r="M37" i="3"/>
  <c r="L37" i="3"/>
  <c r="K37" i="3"/>
  <c r="J37" i="3"/>
  <c r="I37" i="3"/>
  <c r="H37" i="3"/>
  <c r="G37" i="3"/>
  <c r="F37" i="3"/>
  <c r="E37" i="3"/>
  <c r="D37" i="3"/>
  <c r="C37" i="3"/>
  <c r="C31" i="3"/>
  <c r="W32" i="5"/>
  <c r="V32" i="5"/>
  <c r="U32" i="5"/>
  <c r="T32" i="5"/>
  <c r="S32" i="5"/>
  <c r="R32" i="5"/>
  <c r="Q32" i="5"/>
  <c r="P32" i="5"/>
  <c r="O32" i="5"/>
  <c r="N32" i="5"/>
  <c r="M32" i="5"/>
  <c r="L32" i="5"/>
  <c r="K32" i="5"/>
  <c r="J32" i="5"/>
  <c r="I32" i="5"/>
  <c r="H32" i="5"/>
  <c r="G32" i="5"/>
  <c r="F32" i="5"/>
  <c r="E32" i="5"/>
  <c r="W30" i="5"/>
  <c r="V30" i="5"/>
  <c r="U30" i="5"/>
  <c r="T30" i="5"/>
  <c r="S30" i="5"/>
  <c r="R30" i="5"/>
  <c r="Q30" i="5"/>
  <c r="P30" i="5"/>
  <c r="O30" i="5"/>
  <c r="N30" i="5"/>
  <c r="M30" i="5"/>
  <c r="L30" i="5"/>
  <c r="K30" i="5"/>
  <c r="J30" i="5"/>
  <c r="I30" i="5"/>
  <c r="H30" i="5"/>
  <c r="G30" i="5"/>
  <c r="F30" i="5"/>
  <c r="E30" i="5"/>
  <c r="D28" i="5"/>
  <c r="D29" i="5" s="1"/>
  <c r="D17" i="5"/>
  <c r="D24" i="5" s="1"/>
  <c r="D21" i="5"/>
  <c r="D32" i="5"/>
  <c r="E31" i="3"/>
  <c r="V31" i="3"/>
  <c r="U31" i="3"/>
  <c r="T31" i="3"/>
  <c r="S31" i="3"/>
  <c r="R31" i="3"/>
  <c r="Q31" i="3"/>
  <c r="P31" i="3"/>
  <c r="O31" i="3"/>
  <c r="N31" i="3"/>
  <c r="M31" i="3"/>
  <c r="L31" i="3"/>
  <c r="K31" i="3"/>
  <c r="J31" i="3"/>
  <c r="I31" i="3"/>
  <c r="H31" i="3"/>
  <c r="G31" i="3"/>
  <c r="F31" i="3"/>
  <c r="D31" i="3"/>
  <c r="D30" i="5"/>
  <c r="B12" i="28"/>
  <c r="B13" i="28"/>
  <c r="C30" i="28"/>
  <c r="G31" i="28"/>
  <c r="E31" i="28"/>
  <c r="C29" i="28"/>
  <c r="O19" i="2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AL19" i="21" s="1"/>
  <c r="B19" i="21"/>
  <c r="Y123" i="4"/>
  <c r="X123" i="4"/>
  <c r="W123" i="4"/>
  <c r="V123" i="4"/>
  <c r="U123" i="4"/>
  <c r="T123" i="4"/>
  <c r="S123" i="4"/>
  <c r="R123" i="4"/>
  <c r="Q123" i="4"/>
  <c r="P123" i="4"/>
  <c r="O123" i="4"/>
  <c r="N123" i="4"/>
  <c r="M123" i="4"/>
  <c r="L123" i="4"/>
  <c r="K123" i="4"/>
  <c r="J123" i="4"/>
  <c r="I123" i="4"/>
  <c r="H123" i="4"/>
  <c r="G123" i="4"/>
  <c r="F123" i="4"/>
  <c r="W15" i="10"/>
  <c r="V15" i="10"/>
  <c r="U15" i="10"/>
  <c r="T15" i="10"/>
  <c r="S15" i="10"/>
  <c r="R15" i="10"/>
  <c r="Q15" i="10"/>
  <c r="P15" i="10"/>
  <c r="O15" i="10"/>
  <c r="N15" i="10"/>
  <c r="M15" i="10"/>
  <c r="L15" i="10"/>
  <c r="K15" i="10"/>
  <c r="J15" i="10"/>
  <c r="I15" i="10"/>
  <c r="H15" i="10"/>
  <c r="G15" i="10"/>
  <c r="F15" i="10"/>
  <c r="E15" i="10"/>
  <c r="D15" i="10"/>
  <c r="W12" i="10"/>
  <c r="V12" i="10"/>
  <c r="U12" i="10"/>
  <c r="T12" i="10"/>
  <c r="S12" i="10"/>
  <c r="R12" i="10"/>
  <c r="Q12" i="10"/>
  <c r="P12" i="10"/>
  <c r="O12" i="10"/>
  <c r="N12" i="10"/>
  <c r="M12" i="10"/>
  <c r="L12" i="10"/>
  <c r="K12" i="10"/>
  <c r="J12" i="10"/>
  <c r="I12" i="10"/>
  <c r="H12" i="10"/>
  <c r="G12" i="10"/>
  <c r="F12" i="10"/>
  <c r="E12" i="10"/>
  <c r="D12" i="10"/>
  <c r="W6" i="10"/>
  <c r="V6" i="10"/>
  <c r="U6" i="10"/>
  <c r="T6" i="10"/>
  <c r="S6" i="10"/>
  <c r="R6" i="10"/>
  <c r="Q6" i="10"/>
  <c r="P6" i="10"/>
  <c r="O6" i="10"/>
  <c r="N6" i="10"/>
  <c r="M6" i="10"/>
  <c r="L6" i="10"/>
  <c r="K6" i="10"/>
  <c r="J6" i="10"/>
  <c r="I6" i="10"/>
  <c r="H6" i="10"/>
  <c r="G6" i="10"/>
  <c r="F6" i="10"/>
  <c r="E6" i="10"/>
  <c r="D6" i="10"/>
  <c r="V7" i="3"/>
  <c r="U7" i="3"/>
  <c r="T7" i="3"/>
  <c r="S7" i="3"/>
  <c r="R7" i="3"/>
  <c r="Q7" i="3"/>
  <c r="P7" i="3"/>
  <c r="O7" i="3"/>
  <c r="N7" i="3"/>
  <c r="M7" i="3"/>
  <c r="L7" i="3"/>
  <c r="K7" i="3"/>
  <c r="J7" i="3"/>
  <c r="I7" i="3"/>
  <c r="H7" i="3"/>
  <c r="G7" i="3"/>
  <c r="F7" i="3"/>
  <c r="E7" i="3"/>
  <c r="D7" i="3"/>
  <c r="C7" i="3"/>
  <c r="C6" i="3"/>
  <c r="W23" i="5"/>
  <c r="V23" i="5"/>
  <c r="U23" i="5"/>
  <c r="T23" i="5"/>
  <c r="S23" i="5"/>
  <c r="R23" i="5"/>
  <c r="Q23" i="5"/>
  <c r="P23" i="5"/>
  <c r="O23" i="5"/>
  <c r="N23" i="5"/>
  <c r="M23" i="5"/>
  <c r="L23" i="5"/>
  <c r="K23" i="5"/>
  <c r="J23" i="5"/>
  <c r="I23" i="5"/>
  <c r="H23" i="5"/>
  <c r="G23" i="5"/>
  <c r="F23" i="5"/>
  <c r="E23" i="5"/>
  <c r="D23" i="5"/>
  <c r="W19" i="5"/>
  <c r="V19" i="5"/>
  <c r="U19" i="5"/>
  <c r="T19" i="5"/>
  <c r="S19" i="5"/>
  <c r="R19" i="5"/>
  <c r="Q19" i="5"/>
  <c r="P19" i="5"/>
  <c r="O19" i="5"/>
  <c r="N19" i="5"/>
  <c r="M19" i="5"/>
  <c r="L19" i="5"/>
  <c r="K19" i="5"/>
  <c r="J19" i="5"/>
  <c r="I19" i="5"/>
  <c r="H19" i="5"/>
  <c r="G19" i="5"/>
  <c r="F19" i="5"/>
  <c r="E19" i="5"/>
  <c r="D19" i="5"/>
  <c r="V46" i="3"/>
  <c r="U46" i="3"/>
  <c r="T46" i="3"/>
  <c r="S46" i="3"/>
  <c r="R46" i="3"/>
  <c r="Q46" i="3"/>
  <c r="P46" i="3"/>
  <c r="O46" i="3"/>
  <c r="N46" i="3"/>
  <c r="M46" i="3"/>
  <c r="L46" i="3"/>
  <c r="K46" i="3"/>
  <c r="J46" i="3"/>
  <c r="I46" i="3"/>
  <c r="H46" i="3"/>
  <c r="G46" i="3"/>
  <c r="F46" i="3"/>
  <c r="E46" i="3"/>
  <c r="D46" i="3"/>
  <c r="V38" i="3"/>
  <c r="V39" i="3" s="1"/>
  <c r="U38" i="3"/>
  <c r="U39" i="3" s="1"/>
  <c r="T38" i="3"/>
  <c r="T39" i="3" s="1"/>
  <c r="S38" i="3"/>
  <c r="S39" i="3" s="1"/>
  <c r="R38" i="3"/>
  <c r="R39" i="3" s="1"/>
  <c r="Q38" i="3"/>
  <c r="Q39" i="3" s="1"/>
  <c r="P38" i="3"/>
  <c r="P39" i="3" s="1"/>
  <c r="O38" i="3"/>
  <c r="O39" i="3" s="1"/>
  <c r="N38" i="3"/>
  <c r="N39" i="3" s="1"/>
  <c r="M38" i="3"/>
  <c r="M39" i="3" s="1"/>
  <c r="L38" i="3"/>
  <c r="L39" i="3" s="1"/>
  <c r="K38" i="3"/>
  <c r="K39" i="3" s="1"/>
  <c r="J38" i="3"/>
  <c r="J39" i="3" s="1"/>
  <c r="I38" i="3"/>
  <c r="I39" i="3" s="1"/>
  <c r="H38" i="3"/>
  <c r="H39" i="3" s="1"/>
  <c r="G38" i="3"/>
  <c r="G39" i="3" s="1"/>
  <c r="F38" i="3"/>
  <c r="F39" i="3" s="1"/>
  <c r="E38" i="3"/>
  <c r="E39" i="3" s="1"/>
  <c r="D38" i="3"/>
  <c r="D39" i="3" s="1"/>
  <c r="C46" i="3"/>
  <c r="C38" i="3"/>
  <c r="C39" i="3" s="1"/>
  <c r="V24" i="3"/>
  <c r="U24" i="3"/>
  <c r="T24" i="3"/>
  <c r="S24" i="3"/>
  <c r="R24" i="3"/>
  <c r="Q24" i="3"/>
  <c r="P24" i="3"/>
  <c r="O24" i="3"/>
  <c r="N24" i="3"/>
  <c r="M24" i="3"/>
  <c r="L24" i="3"/>
  <c r="K24" i="3"/>
  <c r="J24" i="3"/>
  <c r="I24" i="3"/>
  <c r="H24" i="3"/>
  <c r="G24" i="3"/>
  <c r="F24" i="3"/>
  <c r="E24" i="3"/>
  <c r="D24" i="3"/>
  <c r="C24" i="3"/>
  <c r="C17" i="3"/>
  <c r="C16" i="3"/>
  <c r="F18" i="4"/>
  <c r="G18" i="4"/>
  <c r="H18" i="4"/>
  <c r="I18" i="4"/>
  <c r="J18" i="4"/>
  <c r="K18" i="4"/>
  <c r="L18" i="4"/>
  <c r="M18" i="4"/>
  <c r="N18" i="4"/>
  <c r="O18" i="4"/>
  <c r="P18" i="4"/>
  <c r="Q18" i="4"/>
  <c r="R18" i="4"/>
  <c r="S18" i="4"/>
  <c r="T18" i="4"/>
  <c r="U18" i="4"/>
  <c r="V18" i="4"/>
  <c r="W18" i="4"/>
  <c r="X18" i="4"/>
  <c r="Y18" i="4"/>
  <c r="D39" i="9"/>
  <c r="D38" i="9"/>
  <c r="D32" i="9"/>
  <c r="F17" i="4" s="1"/>
  <c r="D20" i="26"/>
  <c r="E13" i="26"/>
  <c r="F13" i="26" s="1"/>
  <c r="G13" i="26" s="1"/>
  <c r="H13" i="26" s="1"/>
  <c r="I13" i="26" s="1"/>
  <c r="J13" i="26" s="1"/>
  <c r="K13" i="26" s="1"/>
  <c r="L13" i="26" s="1"/>
  <c r="M13" i="26" s="1"/>
  <c r="N13" i="26" s="1"/>
  <c r="O13" i="26" s="1"/>
  <c r="P13" i="26" s="1"/>
  <c r="Q13" i="26" s="1"/>
  <c r="R13" i="26" s="1"/>
  <c r="S13" i="26" s="1"/>
  <c r="T13" i="26" s="1"/>
  <c r="U13" i="26" s="1"/>
  <c r="V13" i="26" s="1"/>
  <c r="W13" i="26" s="1"/>
  <c r="D14" i="26"/>
  <c r="D15" i="26" s="1"/>
  <c r="D17" i="26" s="1"/>
  <c r="F6" i="26"/>
  <c r="F20" i="26" s="1"/>
  <c r="D7" i="26"/>
  <c r="E3" i="26"/>
  <c r="F3" i="26" s="1"/>
  <c r="G3" i="26" s="1"/>
  <c r="H3" i="26" s="1"/>
  <c r="I3" i="26" s="1"/>
  <c r="J3" i="26" s="1"/>
  <c r="K3" i="26" s="1"/>
  <c r="L3" i="26" s="1"/>
  <c r="M3" i="26" s="1"/>
  <c r="N3" i="26" s="1"/>
  <c r="O3" i="26" s="1"/>
  <c r="P3" i="26" s="1"/>
  <c r="Q3" i="26" s="1"/>
  <c r="R3" i="26" s="1"/>
  <c r="S3" i="26" s="1"/>
  <c r="T3" i="26" s="1"/>
  <c r="U3" i="26" s="1"/>
  <c r="V3" i="26" s="1"/>
  <c r="W3" i="26" s="1"/>
  <c r="W14" i="26" s="1"/>
  <c r="W15" i="26" s="1"/>
  <c r="W17" i="26" s="1"/>
  <c r="F7" i="9"/>
  <c r="G7" i="9" s="1"/>
  <c r="H7" i="9" s="1"/>
  <c r="I7" i="9" s="1"/>
  <c r="J7" i="9" s="1"/>
  <c r="K7" i="9" s="1"/>
  <c r="L7" i="9" s="1"/>
  <c r="M7" i="9" s="1"/>
  <c r="N7" i="9" s="1"/>
  <c r="O7" i="9" s="1"/>
  <c r="P7" i="9" s="1"/>
  <c r="Q7" i="9" s="1"/>
  <c r="R7" i="9" s="1"/>
  <c r="S7" i="9" s="1"/>
  <c r="T7" i="9" s="1"/>
  <c r="U7" i="9" s="1"/>
  <c r="V7" i="9" s="1"/>
  <c r="W7" i="9" s="1"/>
  <c r="B14" i="25"/>
  <c r="B9" i="25"/>
  <c r="D23" i="9" s="1"/>
  <c r="F6" i="4" s="1"/>
  <c r="E4" i="9"/>
  <c r="F6" i="25"/>
  <c r="L6" i="25" s="1"/>
  <c r="F5" i="25"/>
  <c r="L5" i="25" s="1"/>
  <c r="F4" i="25"/>
  <c r="L4" i="25" s="1"/>
  <c r="F3" i="25"/>
  <c r="L3" i="25" s="1"/>
  <c r="D6" i="25"/>
  <c r="D5" i="25"/>
  <c r="B11" i="25" s="1"/>
  <c r="D4" i="25"/>
  <c r="D3" i="25"/>
  <c r="D21" i="26" l="1"/>
  <c r="C19" i="21"/>
  <c r="D19" i="21" s="1"/>
  <c r="E19" i="21" s="1"/>
  <c r="F19" i="21" s="1"/>
  <c r="G19" i="21" s="1"/>
  <c r="H19" i="21" s="1"/>
  <c r="I19" i="21" s="1"/>
  <c r="J19" i="21" s="1"/>
  <c r="K19" i="21" s="1"/>
  <c r="L19" i="21" s="1"/>
  <c r="M19" i="21" s="1"/>
  <c r="N19" i="21" s="1"/>
  <c r="D18" i="5"/>
  <c r="D31" i="5"/>
  <c r="E24" i="28"/>
  <c r="E25" i="28" s="1"/>
  <c r="G24" i="28"/>
  <c r="G25" i="28" s="1"/>
  <c r="I24" i="28"/>
  <c r="I25" i="28" s="1"/>
  <c r="K24" i="28"/>
  <c r="K25" i="28" s="1"/>
  <c r="M24" i="28"/>
  <c r="M25" i="28" s="1"/>
  <c r="O24" i="28"/>
  <c r="O25" i="28" s="1"/>
  <c r="Q24" i="28"/>
  <c r="Q25" i="28" s="1"/>
  <c r="S24" i="28"/>
  <c r="S25" i="28" s="1"/>
  <c r="U24" i="28"/>
  <c r="U25" i="28" s="1"/>
  <c r="W24" i="28"/>
  <c r="W25" i="28" s="1"/>
  <c r="F24" i="28"/>
  <c r="F25" i="28" s="1"/>
  <c r="H24" i="28"/>
  <c r="H25" i="28" s="1"/>
  <c r="J24" i="28"/>
  <c r="J25" i="28" s="1"/>
  <c r="L24" i="28"/>
  <c r="L25" i="28" s="1"/>
  <c r="N24" i="28"/>
  <c r="N25" i="28" s="1"/>
  <c r="P24" i="28"/>
  <c r="P25" i="28" s="1"/>
  <c r="R24" i="28"/>
  <c r="R25" i="28" s="1"/>
  <c r="T24" i="28"/>
  <c r="T25" i="28" s="1"/>
  <c r="V24" i="28"/>
  <c r="V25" i="28" s="1"/>
  <c r="F34" i="28"/>
  <c r="N34" i="28"/>
  <c r="R34" i="28"/>
  <c r="E36" i="28"/>
  <c r="G36" i="28"/>
  <c r="I36" i="28"/>
  <c r="K36" i="28"/>
  <c r="M36" i="28"/>
  <c r="O36" i="28"/>
  <c r="Q36" i="28"/>
  <c r="S36" i="28"/>
  <c r="U36" i="28"/>
  <c r="W36" i="28"/>
  <c r="F33" i="28"/>
  <c r="H33" i="28"/>
  <c r="J33" i="28"/>
  <c r="L33" i="28"/>
  <c r="N33" i="28"/>
  <c r="P33" i="28"/>
  <c r="R33" i="28"/>
  <c r="T33" i="28"/>
  <c r="V33" i="28"/>
  <c r="E35" i="28"/>
  <c r="G35" i="28"/>
  <c r="I35" i="28"/>
  <c r="M35" i="28"/>
  <c r="O35" i="28"/>
  <c r="Q35" i="28"/>
  <c r="S35" i="28"/>
  <c r="U35" i="28"/>
  <c r="E34" i="28"/>
  <c r="G34" i="28"/>
  <c r="I34" i="28"/>
  <c r="K34" i="28"/>
  <c r="M34" i="28"/>
  <c r="O34" i="28"/>
  <c r="Q34" i="28"/>
  <c r="S34" i="28"/>
  <c r="U34" i="28"/>
  <c r="F36" i="28"/>
  <c r="H36" i="28"/>
  <c r="J36" i="28"/>
  <c r="L36" i="28"/>
  <c r="N36" i="28"/>
  <c r="R36" i="28"/>
  <c r="T36" i="28"/>
  <c r="V36" i="28"/>
  <c r="E33" i="28"/>
  <c r="G33" i="28"/>
  <c r="I33" i="28"/>
  <c r="K33" i="28"/>
  <c r="M33" i="28"/>
  <c r="O33" i="28"/>
  <c r="Q33" i="28"/>
  <c r="S33" i="28"/>
  <c r="U33" i="28"/>
  <c r="W33" i="28"/>
  <c r="F35" i="28"/>
  <c r="H35" i="28"/>
  <c r="J35" i="28"/>
  <c r="L35" i="28"/>
  <c r="N35" i="28"/>
  <c r="P35" i="28"/>
  <c r="R35" i="28"/>
  <c r="T35" i="28"/>
  <c r="V35" i="28"/>
  <c r="C22" i="3"/>
  <c r="C23" i="3" s="1"/>
  <c r="C25" i="3" s="1"/>
  <c r="C29" i="3"/>
  <c r="C30" i="3" s="1"/>
  <c r="C32" i="3" s="1"/>
  <c r="E28" i="5"/>
  <c r="E29" i="5" s="1"/>
  <c r="D33" i="28"/>
  <c r="D35" i="28"/>
  <c r="D36" i="28"/>
  <c r="D34" i="28"/>
  <c r="F7" i="4"/>
  <c r="B14" i="28"/>
  <c r="E27" i="28"/>
  <c r="G27" i="28"/>
  <c r="I27" i="28"/>
  <c r="K27" i="28"/>
  <c r="M27" i="28"/>
  <c r="O27" i="28"/>
  <c r="Q27" i="28"/>
  <c r="S27" i="28"/>
  <c r="U27" i="28"/>
  <c r="W27" i="28"/>
  <c r="F27" i="28"/>
  <c r="H27" i="28"/>
  <c r="J27" i="28"/>
  <c r="L27" i="28"/>
  <c r="N27" i="28"/>
  <c r="P27" i="28"/>
  <c r="R27" i="28"/>
  <c r="T27" i="28"/>
  <c r="V27" i="28"/>
  <c r="D31" i="28"/>
  <c r="G6" i="26"/>
  <c r="E20" i="26"/>
  <c r="E14" i="26"/>
  <c r="E15" i="26" s="1"/>
  <c r="B15" i="26" s="1"/>
  <c r="G14" i="26"/>
  <c r="G15" i="26" s="1"/>
  <c r="G17" i="26" s="1"/>
  <c r="I14" i="26"/>
  <c r="I15" i="26" s="1"/>
  <c r="I17" i="26" s="1"/>
  <c r="K14" i="26"/>
  <c r="K15" i="26" s="1"/>
  <c r="K17" i="26" s="1"/>
  <c r="M14" i="26"/>
  <c r="M15" i="26" s="1"/>
  <c r="M17" i="26" s="1"/>
  <c r="O14" i="26"/>
  <c r="O15" i="26" s="1"/>
  <c r="O17" i="26" s="1"/>
  <c r="Q14" i="26"/>
  <c r="Q15" i="26" s="1"/>
  <c r="Q17" i="26" s="1"/>
  <c r="S14" i="26"/>
  <c r="S15" i="26" s="1"/>
  <c r="S17" i="26" s="1"/>
  <c r="U14" i="26"/>
  <c r="U15" i="26" s="1"/>
  <c r="U17" i="26" s="1"/>
  <c r="F14" i="26"/>
  <c r="F15" i="26" s="1"/>
  <c r="F17" i="26" s="1"/>
  <c r="H14" i="26"/>
  <c r="H15" i="26" s="1"/>
  <c r="H17" i="26" s="1"/>
  <c r="J14" i="26"/>
  <c r="J15" i="26" s="1"/>
  <c r="J17" i="26" s="1"/>
  <c r="L14" i="26"/>
  <c r="L15" i="26" s="1"/>
  <c r="L17" i="26" s="1"/>
  <c r="N14" i="26"/>
  <c r="N15" i="26" s="1"/>
  <c r="N17" i="26" s="1"/>
  <c r="P14" i="26"/>
  <c r="P15" i="26" s="1"/>
  <c r="P17" i="26" s="1"/>
  <c r="R14" i="26"/>
  <c r="R15" i="26" s="1"/>
  <c r="R17" i="26" s="1"/>
  <c r="T14" i="26"/>
  <c r="T15" i="26" s="1"/>
  <c r="T17" i="26" s="1"/>
  <c r="V14" i="26"/>
  <c r="V15" i="26" s="1"/>
  <c r="V17" i="26" s="1"/>
  <c r="E17" i="26"/>
  <c r="D8" i="26"/>
  <c r="D22" i="26" s="1"/>
  <c r="E7" i="26"/>
  <c r="F7" i="26"/>
  <c r="G7" i="26"/>
  <c r="G21" i="26" s="1"/>
  <c r="D10" i="26"/>
  <c r="D23" i="26" s="1"/>
  <c r="D6" i="9"/>
  <c r="D16" i="9" s="1"/>
  <c r="J4" i="25"/>
  <c r="J6" i="25"/>
  <c r="J3" i="25"/>
  <c r="J5" i="25"/>
  <c r="H4" i="25"/>
  <c r="E5" i="9" s="1"/>
  <c r="E6" i="9" s="1"/>
  <c r="H6" i="25"/>
  <c r="I4" i="25"/>
  <c r="K4" i="25" s="1"/>
  <c r="I6" i="25"/>
  <c r="H3" i="25"/>
  <c r="H5" i="25"/>
  <c r="I3" i="25"/>
  <c r="K3" i="25" s="1"/>
  <c r="I5" i="25"/>
  <c r="E21" i="26" l="1"/>
  <c r="V34" i="28"/>
  <c r="K6" i="25"/>
  <c r="K5" i="25"/>
  <c r="B10" i="25" s="1"/>
  <c r="E23" i="9" s="1"/>
  <c r="G6" i="4" s="1"/>
  <c r="G7" i="4" s="1"/>
  <c r="W35" i="28"/>
  <c r="K35" i="28"/>
  <c r="F28" i="5"/>
  <c r="F29" i="5" s="1"/>
  <c r="P36" i="28"/>
  <c r="W34" i="28"/>
  <c r="J34" i="28"/>
  <c r="D20" i="5"/>
  <c r="D39" i="28"/>
  <c r="D40" i="28" s="1"/>
  <c r="F21" i="26"/>
  <c r="T34" i="28"/>
  <c r="P34" i="28"/>
  <c r="L34" i="28"/>
  <c r="C34" i="28" s="1"/>
  <c r="H34" i="28"/>
  <c r="C35" i="28"/>
  <c r="C33" i="28"/>
  <c r="C36" i="28"/>
  <c r="E31" i="5"/>
  <c r="F31" i="5"/>
  <c r="G28" i="5"/>
  <c r="G29" i="5" s="1"/>
  <c r="I25" i="9"/>
  <c r="D24" i="9"/>
  <c r="D28" i="9" s="1"/>
  <c r="D10" i="9"/>
  <c r="E24" i="9"/>
  <c r="G10" i="4" s="1"/>
  <c r="E10" i="9"/>
  <c r="H6" i="26"/>
  <c r="G20" i="26"/>
  <c r="F8" i="26"/>
  <c r="E8" i="26"/>
  <c r="G8" i="26"/>
  <c r="J25" i="9"/>
  <c r="F4" i="9"/>
  <c r="D15" i="9"/>
  <c r="E15" i="9"/>
  <c r="E16" i="9"/>
  <c r="W22" i="10"/>
  <c r="R22" i="10"/>
  <c r="M22" i="10"/>
  <c r="H22" i="10"/>
  <c r="C22" i="10"/>
  <c r="D23" i="10"/>
  <c r="E23" i="10" s="1"/>
  <c r="F23" i="10" s="1"/>
  <c r="G23" i="10" s="1"/>
  <c r="G22" i="10" s="1"/>
  <c r="I23" i="10"/>
  <c r="J23" i="10" s="1"/>
  <c r="K23" i="10" s="1"/>
  <c r="L23" i="10" s="1"/>
  <c r="L22" i="10" s="1"/>
  <c r="N23" i="10"/>
  <c r="O23" i="10" s="1"/>
  <c r="P23" i="10" s="1"/>
  <c r="Q23" i="10" s="1"/>
  <c r="Q22" i="10" s="1"/>
  <c r="S23" i="10"/>
  <c r="T23" i="10" s="1"/>
  <c r="U23" i="10" s="1"/>
  <c r="V23" i="10" s="1"/>
  <c r="V22" i="10" s="1"/>
  <c r="M21" i="10"/>
  <c r="C21" i="10"/>
  <c r="G31" i="5" l="1"/>
  <c r="E28" i="9"/>
  <c r="H28" i="5"/>
  <c r="H29" i="5" s="1"/>
  <c r="F31" i="28"/>
  <c r="F5" i="9"/>
  <c r="F6" i="9" s="1"/>
  <c r="D11" i="9"/>
  <c r="D27" i="9"/>
  <c r="D21" i="10"/>
  <c r="E21" i="10" s="1"/>
  <c r="J22" i="10"/>
  <c r="N22" i="10"/>
  <c r="P22" i="10"/>
  <c r="T22" i="10"/>
  <c r="D22" i="10"/>
  <c r="I22" i="10"/>
  <c r="K22" i="10"/>
  <c r="O22" i="10"/>
  <c r="S22" i="10"/>
  <c r="U22" i="10"/>
  <c r="E22" i="10"/>
  <c r="F22" i="10"/>
  <c r="F10" i="26"/>
  <c r="F23" i="26" s="1"/>
  <c r="F22" i="26"/>
  <c r="I6" i="26"/>
  <c r="H20" i="26"/>
  <c r="H7" i="26"/>
  <c r="G10" i="26"/>
  <c r="G23" i="26" s="1"/>
  <c r="G22" i="26"/>
  <c r="E10" i="26"/>
  <c r="E23" i="26" s="1"/>
  <c r="E22" i="26"/>
  <c r="E11" i="9" s="1"/>
  <c r="E17" i="9"/>
  <c r="E18" i="9" s="1"/>
  <c r="D17" i="9"/>
  <c r="B7" i="7"/>
  <c r="G25" i="7"/>
  <c r="B25" i="7" s="1"/>
  <c r="D9" i="10"/>
  <c r="D11" i="10"/>
  <c r="E11" i="10" s="1"/>
  <c r="F11" i="10" s="1"/>
  <c r="G11" i="10" s="1"/>
  <c r="H11" i="10" s="1"/>
  <c r="I11" i="10" s="1"/>
  <c r="J11" i="10" s="1"/>
  <c r="K11" i="10" s="1"/>
  <c r="L11" i="10" s="1"/>
  <c r="D10" i="10"/>
  <c r="E10" i="10" s="1"/>
  <c r="F10" i="10" s="1"/>
  <c r="G10" i="10" s="1"/>
  <c r="H10" i="10" s="1"/>
  <c r="I10" i="10" s="1"/>
  <c r="J10" i="10" s="1"/>
  <c r="K10" i="10" s="1"/>
  <c r="L10" i="10" s="1"/>
  <c r="D14" i="10"/>
  <c r="E14" i="10" s="1"/>
  <c r="F14" i="10" s="1"/>
  <c r="G14" i="10" s="1"/>
  <c r="H14" i="10" s="1"/>
  <c r="I14" i="10" s="1"/>
  <c r="J14" i="10" s="1"/>
  <c r="K14" i="10" s="1"/>
  <c r="L14" i="10" s="1"/>
  <c r="N9" i="10"/>
  <c r="O9" i="10" s="1"/>
  <c r="P9" i="10" s="1"/>
  <c r="Q9" i="10" s="1"/>
  <c r="R9" i="10" s="1"/>
  <c r="S9" i="10" s="1"/>
  <c r="T9" i="10" s="1"/>
  <c r="U9" i="10" s="1"/>
  <c r="V9" i="10" s="1"/>
  <c r="N11" i="10"/>
  <c r="N10" i="10"/>
  <c r="O10" i="10" s="1"/>
  <c r="P10" i="10" s="1"/>
  <c r="Q10" i="10" s="1"/>
  <c r="R10" i="10" s="1"/>
  <c r="S10" i="10" s="1"/>
  <c r="T10" i="10" s="1"/>
  <c r="U10" i="10" s="1"/>
  <c r="V10" i="10" s="1"/>
  <c r="N14" i="10"/>
  <c r="O14" i="10" s="1"/>
  <c r="P14" i="10" s="1"/>
  <c r="Q14" i="10" s="1"/>
  <c r="R14" i="10" s="1"/>
  <c r="S14" i="10" s="1"/>
  <c r="T14" i="10" s="1"/>
  <c r="U14" i="10" s="1"/>
  <c r="V14" i="10" s="1"/>
  <c r="O11" i="10"/>
  <c r="P11" i="10" s="1"/>
  <c r="Q11" i="10" s="1"/>
  <c r="R11" i="10" s="1"/>
  <c r="S11" i="10" s="1"/>
  <c r="T11" i="10" s="1"/>
  <c r="U11" i="10" s="1"/>
  <c r="V11" i="10" s="1"/>
  <c r="B20" i="7"/>
  <c r="E33" i="9"/>
  <c r="D33" i="9" s="1"/>
  <c r="D34" i="9" s="1"/>
  <c r="F12" i="4"/>
  <c r="F11" i="4"/>
  <c r="G9" i="4"/>
  <c r="G8" i="4"/>
  <c r="B40" i="7"/>
  <c r="G35" i="4" s="1"/>
  <c r="O3" i="21"/>
  <c r="O9" i="21"/>
  <c r="P22" i="21"/>
  <c r="B36" i="7"/>
  <c r="G36" i="4" s="1"/>
  <c r="H36" i="4" s="1"/>
  <c r="E4" i="3"/>
  <c r="F4" i="3" s="1"/>
  <c r="D6" i="3"/>
  <c r="G32" i="9"/>
  <c r="I17" i="4" s="1"/>
  <c r="B12" i="3"/>
  <c r="B14" i="3" s="1"/>
  <c r="N10" i="5"/>
  <c r="O10" i="5" s="1"/>
  <c r="P10" i="5" s="1"/>
  <c r="Q10" i="5" s="1"/>
  <c r="R10" i="5" s="1"/>
  <c r="S10" i="5" s="1"/>
  <c r="T10" i="5" s="1"/>
  <c r="U10" i="5" s="1"/>
  <c r="V10" i="5" s="1"/>
  <c r="D10" i="5"/>
  <c r="E10" i="5" s="1"/>
  <c r="F10" i="5" s="1"/>
  <c r="G10" i="5" s="1"/>
  <c r="H10" i="5" s="1"/>
  <c r="I10" i="5" s="1"/>
  <c r="J10" i="5" s="1"/>
  <c r="K10" i="5" s="1"/>
  <c r="L10" i="5" s="1"/>
  <c r="C59" i="9"/>
  <c r="L3" i="21"/>
  <c r="L9" i="21"/>
  <c r="K3" i="21"/>
  <c r="K9" i="21"/>
  <c r="M3" i="21"/>
  <c r="M9" i="21"/>
  <c r="N3" i="21"/>
  <c r="N9" i="21"/>
  <c r="B9" i="21"/>
  <c r="B15" i="21" s="1"/>
  <c r="B3" i="21"/>
  <c r="C9" i="21"/>
  <c r="C3" i="21"/>
  <c r="D9" i="21"/>
  <c r="D15" i="21" s="1"/>
  <c r="D3" i="21"/>
  <c r="E9" i="21"/>
  <c r="E3" i="21"/>
  <c r="E15" i="21" s="1"/>
  <c r="F9" i="21"/>
  <c r="F3" i="21"/>
  <c r="G9" i="21"/>
  <c r="G3" i="21"/>
  <c r="G15" i="21" s="1"/>
  <c r="H9" i="21"/>
  <c r="H3" i="21"/>
  <c r="I9" i="21"/>
  <c r="I3" i="21"/>
  <c r="J9" i="21"/>
  <c r="J3" i="21"/>
  <c r="J15" i="21" s="1"/>
  <c r="B39" i="7"/>
  <c r="B38" i="7"/>
  <c r="B37" i="7"/>
  <c r="B35" i="7"/>
  <c r="F32" i="9"/>
  <c r="H17" i="4" s="1"/>
  <c r="H32" i="9"/>
  <c r="J17" i="4" s="1"/>
  <c r="I32" i="9"/>
  <c r="K17" i="4" s="1"/>
  <c r="J32" i="9"/>
  <c r="L17" i="4" s="1"/>
  <c r="K32" i="9"/>
  <c r="M17" i="4" s="1"/>
  <c r="L32" i="9"/>
  <c r="N17" i="4" s="1"/>
  <c r="M32" i="9"/>
  <c r="O17" i="4" s="1"/>
  <c r="N32" i="9"/>
  <c r="P17" i="4" s="1"/>
  <c r="O32" i="9"/>
  <c r="Q17" i="4" s="1"/>
  <c r="P32" i="9"/>
  <c r="R17" i="4" s="1"/>
  <c r="Q32" i="9"/>
  <c r="S17" i="4" s="1"/>
  <c r="R32" i="9"/>
  <c r="T17" i="4" s="1"/>
  <c r="S32" i="9"/>
  <c r="U17" i="4" s="1"/>
  <c r="T32" i="9"/>
  <c r="V17" i="4" s="1"/>
  <c r="U32" i="9"/>
  <c r="W17" i="4" s="1"/>
  <c r="V32" i="9"/>
  <c r="X17" i="4" s="1"/>
  <c r="W32" i="9"/>
  <c r="Y17" i="4" s="1"/>
  <c r="E32" i="9"/>
  <c r="G17" i="4" s="1"/>
  <c r="G27" i="7"/>
  <c r="B27" i="7" s="1"/>
  <c r="E17" i="5"/>
  <c r="F16" i="5"/>
  <c r="D4" i="10"/>
  <c r="E4" i="10" s="1"/>
  <c r="D5" i="10"/>
  <c r="E5" i="10" s="1"/>
  <c r="F5" i="10" s="1"/>
  <c r="G5" i="10" s="1"/>
  <c r="H5" i="10" s="1"/>
  <c r="I5" i="10" s="1"/>
  <c r="J5" i="10" s="1"/>
  <c r="K5" i="10" s="1"/>
  <c r="L5" i="10" s="1"/>
  <c r="D18" i="10"/>
  <c r="E18" i="10" s="1"/>
  <c r="F18" i="10" s="1"/>
  <c r="G18" i="10" s="1"/>
  <c r="H18" i="10" s="1"/>
  <c r="I18" i="10" s="1"/>
  <c r="J18" i="10" s="1"/>
  <c r="K18" i="10" s="1"/>
  <c r="L18" i="10" s="1"/>
  <c r="D19" i="10"/>
  <c r="E19" i="10" s="1"/>
  <c r="F19" i="10" s="1"/>
  <c r="G19" i="10" s="1"/>
  <c r="H19" i="10" s="1"/>
  <c r="I19" i="10" s="1"/>
  <c r="J19" i="10" s="1"/>
  <c r="K19" i="10" s="1"/>
  <c r="L19" i="10" s="1"/>
  <c r="N4" i="10"/>
  <c r="N5" i="10"/>
  <c r="O5" i="10" s="1"/>
  <c r="P5" i="10" s="1"/>
  <c r="Q5" i="10" s="1"/>
  <c r="R5" i="10" s="1"/>
  <c r="S5" i="10" s="1"/>
  <c r="T5" i="10" s="1"/>
  <c r="U5" i="10" s="1"/>
  <c r="V5" i="10" s="1"/>
  <c r="N18" i="10"/>
  <c r="O18" i="10" s="1"/>
  <c r="P18" i="10" s="1"/>
  <c r="Q18" i="10" s="1"/>
  <c r="R18" i="10" s="1"/>
  <c r="S18" i="10" s="1"/>
  <c r="T18" i="10" s="1"/>
  <c r="U18" i="10" s="1"/>
  <c r="V18" i="10" s="1"/>
  <c r="N19" i="10"/>
  <c r="O19" i="10" s="1"/>
  <c r="P19" i="10" s="1"/>
  <c r="Q19" i="10" s="1"/>
  <c r="R19" i="10" s="1"/>
  <c r="S19" i="10" s="1"/>
  <c r="T19" i="10" s="1"/>
  <c r="U19" i="10" s="1"/>
  <c r="V19" i="10" s="1"/>
  <c r="N21" i="10"/>
  <c r="B8" i="7"/>
  <c r="C25" i="5"/>
  <c r="D25" i="5" s="1"/>
  <c r="E8" i="16"/>
  <c r="D8" i="16"/>
  <c r="C8" i="16"/>
  <c r="B8" i="16"/>
  <c r="F5" i="16"/>
  <c r="F6" i="16"/>
  <c r="F7" i="16"/>
  <c r="V12" i="3"/>
  <c r="L12" i="3"/>
  <c r="M11" i="3"/>
  <c r="N11" i="3" s="1"/>
  <c r="O11" i="3" s="1"/>
  <c r="C11" i="3"/>
  <c r="D11" i="3" s="1"/>
  <c r="E11" i="3" s="1"/>
  <c r="F11" i="3" s="1"/>
  <c r="G11" i="3" s="1"/>
  <c r="H11" i="3" s="1"/>
  <c r="I11" i="3" s="1"/>
  <c r="J11" i="3" s="1"/>
  <c r="K11" i="3" s="1"/>
  <c r="M10" i="3"/>
  <c r="M12" i="3" s="1"/>
  <c r="C10" i="3"/>
  <c r="D10" i="3" s="1"/>
  <c r="D17" i="3"/>
  <c r="D16" i="3"/>
  <c r="E19" i="3"/>
  <c r="F19" i="3" s="1"/>
  <c r="G19" i="3" s="1"/>
  <c r="H19" i="3" s="1"/>
  <c r="I19" i="3" s="1"/>
  <c r="J19" i="3" s="1"/>
  <c r="K19" i="3" s="1"/>
  <c r="L19" i="3" s="1"/>
  <c r="M19" i="3" s="1"/>
  <c r="N19" i="3" s="1"/>
  <c r="O19" i="3" s="1"/>
  <c r="P19" i="3" s="1"/>
  <c r="Q19" i="3" s="1"/>
  <c r="R19" i="3" s="1"/>
  <c r="S19" i="3" s="1"/>
  <c r="T19" i="3" s="1"/>
  <c r="U19" i="3" s="1"/>
  <c r="V19" i="3" s="1"/>
  <c r="E18" i="3"/>
  <c r="D25" i="7"/>
  <c r="C5" i="5"/>
  <c r="C6" i="5" s="1"/>
  <c r="C7" i="5" s="1"/>
  <c r="D5" i="5"/>
  <c r="E5" i="5"/>
  <c r="F5" i="5"/>
  <c r="G5" i="5"/>
  <c r="H5" i="5"/>
  <c r="I5" i="5"/>
  <c r="J5" i="5"/>
  <c r="K5" i="5"/>
  <c r="L5" i="5"/>
  <c r="M5" i="5"/>
  <c r="N5" i="5"/>
  <c r="O5" i="5"/>
  <c r="P5" i="5"/>
  <c r="Q5" i="5"/>
  <c r="R5" i="5"/>
  <c r="S5" i="5"/>
  <c r="T5" i="5"/>
  <c r="U5" i="5"/>
  <c r="V5" i="5"/>
  <c r="W5" i="5"/>
  <c r="B28" i="7"/>
  <c r="E21" i="5"/>
  <c r="F4" i="16"/>
  <c r="F3" i="16"/>
  <c r="F2" i="16"/>
  <c r="E27" i="9"/>
  <c r="D28" i="7"/>
  <c r="D27" i="7"/>
  <c r="D15" i="7"/>
  <c r="C15" i="7"/>
  <c r="B15" i="7"/>
  <c r="H15" i="21"/>
  <c r="F15" i="21" l="1"/>
  <c r="Y124" i="4"/>
  <c r="W124" i="4"/>
  <c r="U124" i="4"/>
  <c r="S124" i="4"/>
  <c r="Q124" i="4"/>
  <c r="O124" i="4"/>
  <c r="M124" i="4"/>
  <c r="K124" i="4"/>
  <c r="I124" i="4"/>
  <c r="G124" i="4"/>
  <c r="G125" i="4" s="1"/>
  <c r="F124" i="4"/>
  <c r="F125" i="4" s="1"/>
  <c r="X124" i="4"/>
  <c r="V124" i="4"/>
  <c r="T124" i="4"/>
  <c r="R124" i="4"/>
  <c r="P124" i="4"/>
  <c r="N124" i="4"/>
  <c r="L124" i="4"/>
  <c r="J124" i="4"/>
  <c r="H124" i="4"/>
  <c r="V44" i="9"/>
  <c r="T44" i="9"/>
  <c r="R44" i="9"/>
  <c r="P44" i="9"/>
  <c r="N44" i="9"/>
  <c r="L44" i="9"/>
  <c r="J44" i="9"/>
  <c r="H44" i="9"/>
  <c r="F44" i="9"/>
  <c r="D44" i="9"/>
  <c r="W44" i="9"/>
  <c r="U44" i="9"/>
  <c r="S44" i="9"/>
  <c r="Q44" i="9"/>
  <c r="O44" i="9"/>
  <c r="M44" i="9"/>
  <c r="K44" i="9"/>
  <c r="I44" i="9"/>
  <c r="G44" i="9"/>
  <c r="E44" i="9"/>
  <c r="W43" i="9"/>
  <c r="U43" i="9"/>
  <c r="S43" i="9"/>
  <c r="Q43" i="9"/>
  <c r="O43" i="9"/>
  <c r="M43" i="9"/>
  <c r="K43" i="9"/>
  <c r="I43" i="9"/>
  <c r="G43" i="9"/>
  <c r="E43" i="9"/>
  <c r="V43" i="9"/>
  <c r="T43" i="9"/>
  <c r="R43" i="9"/>
  <c r="P43" i="9"/>
  <c r="N43" i="9"/>
  <c r="L43" i="9"/>
  <c r="J43" i="9"/>
  <c r="H43" i="9"/>
  <c r="F43" i="9"/>
  <c r="D43" i="9"/>
  <c r="V46" i="9"/>
  <c r="W46" i="9"/>
  <c r="U46" i="9"/>
  <c r="T46" i="9"/>
  <c r="R46" i="9"/>
  <c r="P46" i="9"/>
  <c r="N46" i="9"/>
  <c r="L46" i="9"/>
  <c r="J46" i="9"/>
  <c r="H46" i="9"/>
  <c r="F46" i="9"/>
  <c r="S46" i="9"/>
  <c r="Q46" i="9"/>
  <c r="O46" i="9"/>
  <c r="M46" i="9"/>
  <c r="K46" i="9"/>
  <c r="I46" i="9"/>
  <c r="G46" i="9"/>
  <c r="E46" i="9"/>
  <c r="D46" i="9"/>
  <c r="E18" i="5"/>
  <c r="E24" i="5"/>
  <c r="V37" i="9"/>
  <c r="T37" i="9"/>
  <c r="R37" i="9"/>
  <c r="P37" i="9"/>
  <c r="N37" i="9"/>
  <c r="L37" i="9"/>
  <c r="J37" i="9"/>
  <c r="H37" i="9"/>
  <c r="F37" i="9"/>
  <c r="D37" i="9"/>
  <c r="W37" i="9"/>
  <c r="U37" i="9"/>
  <c r="S37" i="9"/>
  <c r="Q37" i="9"/>
  <c r="O37" i="9"/>
  <c r="M37" i="9"/>
  <c r="K37" i="9"/>
  <c r="I37" i="9"/>
  <c r="G37" i="9"/>
  <c r="E37" i="9"/>
  <c r="G69" i="4" s="1"/>
  <c r="W36" i="9"/>
  <c r="U36" i="9"/>
  <c r="S36" i="9"/>
  <c r="Q36" i="9"/>
  <c r="O36" i="9"/>
  <c r="M36" i="9"/>
  <c r="K36" i="9"/>
  <c r="I36" i="9"/>
  <c r="G36" i="9"/>
  <c r="E36" i="9"/>
  <c r="G67" i="4" s="1"/>
  <c r="G87" i="4" s="1"/>
  <c r="V36" i="9"/>
  <c r="T36" i="9"/>
  <c r="R36" i="9"/>
  <c r="P36" i="9"/>
  <c r="N36" i="9"/>
  <c r="L36" i="9"/>
  <c r="J36" i="9"/>
  <c r="H36" i="9"/>
  <c r="F36" i="9"/>
  <c r="D36" i="9"/>
  <c r="F81" i="4" s="1"/>
  <c r="D26" i="9"/>
  <c r="D29" i="9" s="1"/>
  <c r="E26" i="9"/>
  <c r="W45" i="9"/>
  <c r="U45" i="9"/>
  <c r="S45" i="9"/>
  <c r="Q45" i="9"/>
  <c r="O45" i="9"/>
  <c r="M45" i="9"/>
  <c r="K45" i="9"/>
  <c r="I45" i="9"/>
  <c r="G45" i="9"/>
  <c r="E45" i="9"/>
  <c r="D45" i="9"/>
  <c r="V45" i="9"/>
  <c r="T45" i="9"/>
  <c r="R45" i="9"/>
  <c r="P45" i="9"/>
  <c r="N45" i="9"/>
  <c r="L45" i="9"/>
  <c r="J45" i="9"/>
  <c r="H45" i="9"/>
  <c r="F45" i="9"/>
  <c r="G16" i="5"/>
  <c r="K15" i="21"/>
  <c r="E9" i="10"/>
  <c r="V42" i="3"/>
  <c r="T42" i="3"/>
  <c r="R42" i="3"/>
  <c r="P42" i="3"/>
  <c r="N42" i="3"/>
  <c r="L42" i="3"/>
  <c r="J42" i="3"/>
  <c r="H42" i="3"/>
  <c r="F42" i="3"/>
  <c r="D42" i="3"/>
  <c r="U42" i="3"/>
  <c r="S42" i="3"/>
  <c r="Q42" i="3"/>
  <c r="O42" i="3"/>
  <c r="M42" i="3"/>
  <c r="K42" i="3"/>
  <c r="I42" i="3"/>
  <c r="G42" i="3"/>
  <c r="E42" i="3"/>
  <c r="C42" i="3"/>
  <c r="E13" i="9"/>
  <c r="H31" i="5"/>
  <c r="D22" i="3"/>
  <c r="D23" i="3" s="1"/>
  <c r="D12" i="3"/>
  <c r="B19" i="7" s="1"/>
  <c r="F18" i="3"/>
  <c r="E17" i="3"/>
  <c r="D29" i="3"/>
  <c r="D30" i="3" s="1"/>
  <c r="D32" i="3" s="1"/>
  <c r="C12" i="3"/>
  <c r="C14" i="3" s="1"/>
  <c r="E16" i="3"/>
  <c r="F16" i="3" s="1"/>
  <c r="G16" i="3" s="1"/>
  <c r="H16" i="3" s="1"/>
  <c r="I16" i="3" s="1"/>
  <c r="J16" i="3" s="1"/>
  <c r="K16" i="3" s="1"/>
  <c r="L16" i="3" s="1"/>
  <c r="M16" i="3" s="1"/>
  <c r="N16" i="3" s="1"/>
  <c r="O16" i="3" s="1"/>
  <c r="P16" i="3" s="1"/>
  <c r="Q16" i="3" s="1"/>
  <c r="R16" i="3" s="1"/>
  <c r="S16" i="3" s="1"/>
  <c r="T16" i="3" s="1"/>
  <c r="U16" i="3" s="1"/>
  <c r="V16" i="3" s="1"/>
  <c r="E21" i="9"/>
  <c r="D13" i="9"/>
  <c r="D21" i="9" s="1"/>
  <c r="D47" i="9"/>
  <c r="D48" i="9"/>
  <c r="I28" i="5"/>
  <c r="I29" i="5" s="1"/>
  <c r="N15" i="21"/>
  <c r="M15" i="21"/>
  <c r="Q22" i="21"/>
  <c r="F24" i="9"/>
  <c r="H10" i="4" s="1"/>
  <c r="H11" i="4" s="1"/>
  <c r="K25" i="9"/>
  <c r="F16" i="9"/>
  <c r="F10" i="9"/>
  <c r="F26" i="9"/>
  <c r="F15" i="9"/>
  <c r="F126" i="4"/>
  <c r="F127" i="4"/>
  <c r="F23" i="9"/>
  <c r="H6" i="4" s="1"/>
  <c r="G4" i="9"/>
  <c r="F13" i="4"/>
  <c r="F72" i="4"/>
  <c r="F91" i="4" s="1"/>
  <c r="F70" i="4"/>
  <c r="F90" i="4" s="1"/>
  <c r="F68" i="4"/>
  <c r="F88" i="4" s="1"/>
  <c r="F55" i="4"/>
  <c r="F71" i="4"/>
  <c r="F69" i="4"/>
  <c r="F89" i="4" s="1"/>
  <c r="F67" i="4"/>
  <c r="F87" i="4" s="1"/>
  <c r="F53" i="4"/>
  <c r="F54" i="4"/>
  <c r="E48" i="9"/>
  <c r="E47" i="9"/>
  <c r="G54" i="4" s="1"/>
  <c r="I36" i="4"/>
  <c r="J36" i="4" s="1"/>
  <c r="K36" i="4" s="1"/>
  <c r="L36" i="4" s="1"/>
  <c r="M36" i="4" s="1"/>
  <c r="N36" i="4" s="1"/>
  <c r="O36" i="4" s="1"/>
  <c r="P36" i="4" s="1"/>
  <c r="Q36" i="4" s="1"/>
  <c r="R36" i="4" s="1"/>
  <c r="S36" i="4" s="1"/>
  <c r="T36" i="4" s="1"/>
  <c r="U36" i="4" s="1"/>
  <c r="V36" i="4" s="1"/>
  <c r="W36" i="4" s="1"/>
  <c r="X36" i="4" s="1"/>
  <c r="Y36" i="4" s="1"/>
  <c r="F36" i="4"/>
  <c r="N10" i="3"/>
  <c r="N12" i="3" s="1"/>
  <c r="V40" i="3"/>
  <c r="T40" i="3"/>
  <c r="R40" i="3"/>
  <c r="P40" i="3"/>
  <c r="N40" i="3"/>
  <c r="L40" i="3"/>
  <c r="J40" i="3"/>
  <c r="H40" i="3"/>
  <c r="F40" i="3"/>
  <c r="D40" i="3"/>
  <c r="U40" i="3"/>
  <c r="S40" i="3"/>
  <c r="Q40" i="3"/>
  <c r="O40" i="3"/>
  <c r="M40" i="3"/>
  <c r="K40" i="3"/>
  <c r="I40" i="3"/>
  <c r="G40" i="3"/>
  <c r="E40" i="3"/>
  <c r="C40" i="3"/>
  <c r="F98" i="4" s="1"/>
  <c r="E25" i="5"/>
  <c r="F25" i="5" s="1"/>
  <c r="F77" i="4"/>
  <c r="H21" i="26"/>
  <c r="H8" i="26"/>
  <c r="J6" i="26"/>
  <c r="I20" i="26"/>
  <c r="I7" i="26"/>
  <c r="F17" i="3"/>
  <c r="F22" i="3" s="1"/>
  <c r="F23" i="3" s="1"/>
  <c r="F25" i="3" s="1"/>
  <c r="H16" i="5"/>
  <c r="G21" i="5"/>
  <c r="O10" i="3"/>
  <c r="P10" i="3" s="1"/>
  <c r="Q10" i="3" s="1"/>
  <c r="R10" i="3" s="1"/>
  <c r="S10" i="3" s="1"/>
  <c r="T10" i="3" s="1"/>
  <c r="U10" i="3" s="1"/>
  <c r="F21" i="5"/>
  <c r="V14" i="3"/>
  <c r="I15" i="21"/>
  <c r="C15" i="21"/>
  <c r="L15" i="21"/>
  <c r="E6" i="3"/>
  <c r="O22" i="21"/>
  <c r="O15" i="21"/>
  <c r="O23" i="21" s="1"/>
  <c r="P23" i="21" s="1"/>
  <c r="Q23" i="21" s="1"/>
  <c r="G13" i="4"/>
  <c r="E29" i="9"/>
  <c r="N14" i="3"/>
  <c r="O12" i="3"/>
  <c r="P11" i="3"/>
  <c r="F4" i="10"/>
  <c r="D6" i="5"/>
  <c r="D7" i="5" s="1"/>
  <c r="F21" i="10"/>
  <c r="F17" i="5"/>
  <c r="F18" i="5" s="1"/>
  <c r="G72" i="4"/>
  <c r="G91" i="4" s="1"/>
  <c r="G53" i="4"/>
  <c r="G70" i="4"/>
  <c r="G90" i="4" s="1"/>
  <c r="G68" i="4"/>
  <c r="G88" i="4" s="1"/>
  <c r="G71" i="4"/>
  <c r="H35" i="4"/>
  <c r="F35" i="4" s="1"/>
  <c r="D14" i="3"/>
  <c r="B18" i="7"/>
  <c r="B21" i="7" s="1"/>
  <c r="E40" i="9"/>
  <c r="G73" i="4" s="1"/>
  <c r="G92" i="4" s="1"/>
  <c r="G11" i="4"/>
  <c r="G12" i="4"/>
  <c r="F6" i="3"/>
  <c r="G4" i="3"/>
  <c r="E10" i="3"/>
  <c r="F8" i="16"/>
  <c r="M14" i="3"/>
  <c r="L14" i="3"/>
  <c r="O21" i="10"/>
  <c r="O4" i="10"/>
  <c r="G81" i="4"/>
  <c r="E34" i="9"/>
  <c r="F33" i="9"/>
  <c r="F9" i="10"/>
  <c r="G17" i="3" l="1"/>
  <c r="H17" i="3" s="1"/>
  <c r="I17" i="3" s="1"/>
  <c r="J17" i="3" s="1"/>
  <c r="K17" i="3" s="1"/>
  <c r="L17" i="3" s="1"/>
  <c r="M17" i="3" s="1"/>
  <c r="N17" i="3" s="1"/>
  <c r="O17" i="3" s="1"/>
  <c r="P17" i="3" s="1"/>
  <c r="Q17" i="3" s="1"/>
  <c r="R17" i="3" s="1"/>
  <c r="S17" i="3" s="1"/>
  <c r="T17" i="3" s="1"/>
  <c r="U17" i="3" s="1"/>
  <c r="V17" i="3" s="1"/>
  <c r="F20" i="5"/>
  <c r="G98" i="4"/>
  <c r="G89" i="4"/>
  <c r="D25" i="3"/>
  <c r="F24" i="5"/>
  <c r="G55" i="4"/>
  <c r="I16" i="5"/>
  <c r="E20" i="5"/>
  <c r="E39" i="28"/>
  <c r="H125" i="4"/>
  <c r="I31" i="5"/>
  <c r="H21" i="5"/>
  <c r="E22" i="3"/>
  <c r="E23" i="3" s="1"/>
  <c r="E25" i="3" s="1"/>
  <c r="G18" i="3"/>
  <c r="F29" i="3"/>
  <c r="F30" i="3" s="1"/>
  <c r="F32" i="3" s="1"/>
  <c r="E29" i="3"/>
  <c r="E30" i="3" s="1"/>
  <c r="E32" i="3" s="1"/>
  <c r="F76" i="4"/>
  <c r="B22" i="7"/>
  <c r="E33" i="3" s="1"/>
  <c r="U26" i="3"/>
  <c r="S26" i="3"/>
  <c r="Q26" i="3"/>
  <c r="O26" i="3"/>
  <c r="M26" i="3"/>
  <c r="K26" i="3"/>
  <c r="I26" i="3"/>
  <c r="G26" i="3"/>
  <c r="E26" i="3"/>
  <c r="C26" i="3"/>
  <c r="F78" i="4" s="1"/>
  <c r="V26" i="3"/>
  <c r="T26" i="3"/>
  <c r="R26" i="3"/>
  <c r="P26" i="3"/>
  <c r="N26" i="3"/>
  <c r="L26" i="3"/>
  <c r="J26" i="3"/>
  <c r="H26" i="3"/>
  <c r="F26" i="3"/>
  <c r="D26" i="3"/>
  <c r="G76" i="4"/>
  <c r="H12" i="4"/>
  <c r="F27" i="9"/>
  <c r="F29" i="9" s="1"/>
  <c r="J28" i="5"/>
  <c r="J29" i="5" s="1"/>
  <c r="U33" i="3"/>
  <c r="S33" i="3"/>
  <c r="Q33" i="3"/>
  <c r="O33" i="3"/>
  <c r="M33" i="3"/>
  <c r="K33" i="3"/>
  <c r="I33" i="3"/>
  <c r="G33" i="3"/>
  <c r="C33" i="3"/>
  <c r="D38" i="28" s="1"/>
  <c r="V33" i="3"/>
  <c r="T33" i="3"/>
  <c r="R33" i="3"/>
  <c r="P33" i="3"/>
  <c r="N33" i="3"/>
  <c r="L33" i="3"/>
  <c r="J33" i="3"/>
  <c r="H33" i="3"/>
  <c r="F33" i="3"/>
  <c r="D33" i="3"/>
  <c r="G80" i="4" s="1"/>
  <c r="H31" i="28"/>
  <c r="G5" i="9"/>
  <c r="G23" i="9" s="1"/>
  <c r="I6" i="4" s="1"/>
  <c r="F11" i="9"/>
  <c r="F17" i="9"/>
  <c r="F18" i="9" s="1"/>
  <c r="F42" i="4"/>
  <c r="F99" i="4"/>
  <c r="F100" i="4"/>
  <c r="G57" i="4"/>
  <c r="D40" i="9"/>
  <c r="I21" i="26"/>
  <c r="I8" i="26"/>
  <c r="K6" i="26"/>
  <c r="J20" i="26"/>
  <c r="J7" i="26"/>
  <c r="H10" i="26"/>
  <c r="H23" i="26" s="1"/>
  <c r="H22" i="26"/>
  <c r="F28" i="9"/>
  <c r="E6" i="5"/>
  <c r="E7" i="5" s="1"/>
  <c r="F34" i="9"/>
  <c r="G33" i="9"/>
  <c r="G9" i="10"/>
  <c r="B29" i="7"/>
  <c r="H81" i="4"/>
  <c r="P4" i="10"/>
  <c r="E12" i="3"/>
  <c r="F10" i="3"/>
  <c r="H4" i="3"/>
  <c r="G6" i="3"/>
  <c r="G21" i="10"/>
  <c r="G25" i="5"/>
  <c r="O14" i="3"/>
  <c r="G127" i="4"/>
  <c r="G126" i="4"/>
  <c r="R22" i="21"/>
  <c r="R23" i="21" s="1"/>
  <c r="D50" i="9"/>
  <c r="D51" i="9" s="1"/>
  <c r="P21" i="10"/>
  <c r="F40" i="9"/>
  <c r="B9" i="7"/>
  <c r="I35" i="4"/>
  <c r="F8" i="4"/>
  <c r="F9" i="4"/>
  <c r="G17" i="5"/>
  <c r="G24" i="5" s="1"/>
  <c r="G4" i="10"/>
  <c r="Q11" i="3"/>
  <c r="P12" i="3"/>
  <c r="G77" i="4"/>
  <c r="G22" i="3"/>
  <c r="G23" i="3" s="1"/>
  <c r="G25" i="3" s="1"/>
  <c r="G6" i="9" l="1"/>
  <c r="G18" i="5"/>
  <c r="J16" i="5"/>
  <c r="I21" i="5"/>
  <c r="F39" i="28"/>
  <c r="F40" i="28" s="1"/>
  <c r="H4" i="9"/>
  <c r="E40" i="28"/>
  <c r="J31" i="5"/>
  <c r="G29" i="3"/>
  <c r="G30" i="3" s="1"/>
  <c r="G32" i="3" s="1"/>
  <c r="H18" i="3"/>
  <c r="E38" i="28"/>
  <c r="F13" i="9"/>
  <c r="H73" i="4"/>
  <c r="H92" i="4" s="1"/>
  <c r="F57" i="4"/>
  <c r="F73" i="4"/>
  <c r="K28" i="5"/>
  <c r="K29" i="5" s="1"/>
  <c r="G58" i="4"/>
  <c r="F21" i="9"/>
  <c r="F38" i="28" s="1"/>
  <c r="F21" i="4"/>
  <c r="G24" i="9"/>
  <c r="I10" i="4" s="1"/>
  <c r="G26" i="9"/>
  <c r="G16" i="9"/>
  <c r="G10" i="9"/>
  <c r="I125" i="4" s="1"/>
  <c r="L25" i="9"/>
  <c r="G15" i="9"/>
  <c r="H5" i="9"/>
  <c r="H23" i="9" s="1"/>
  <c r="J6" i="4" s="1"/>
  <c r="J8" i="4" s="1"/>
  <c r="F43" i="4"/>
  <c r="F79" i="4"/>
  <c r="J21" i="26"/>
  <c r="J8" i="26"/>
  <c r="L6" i="26"/>
  <c r="K20" i="26"/>
  <c r="K7" i="26"/>
  <c r="I10" i="26"/>
  <c r="I23" i="26" s="1"/>
  <c r="I22" i="26"/>
  <c r="H8" i="4"/>
  <c r="H9" i="4"/>
  <c r="G42" i="4"/>
  <c r="B10" i="7"/>
  <c r="R11" i="3"/>
  <c r="Q12" i="3"/>
  <c r="G78" i="4"/>
  <c r="H21" i="10"/>
  <c r="P14" i="3"/>
  <c r="H4" i="10"/>
  <c r="G40" i="9"/>
  <c r="Q21" i="10"/>
  <c r="J9" i="4"/>
  <c r="H6" i="3"/>
  <c r="I4" i="3"/>
  <c r="Q4" i="10"/>
  <c r="G34" i="9"/>
  <c r="H33" i="9"/>
  <c r="E14" i="3"/>
  <c r="H17" i="5"/>
  <c r="J35" i="4"/>
  <c r="S22" i="21"/>
  <c r="S23" i="21" s="1"/>
  <c r="F24" i="4" s="1"/>
  <c r="H25" i="5"/>
  <c r="F12" i="3"/>
  <c r="G10" i="3"/>
  <c r="F47" i="9"/>
  <c r="H54" i="4" s="1"/>
  <c r="H57" i="4"/>
  <c r="H58" i="4" s="1"/>
  <c r="H59" i="4" s="1"/>
  <c r="H72" i="4"/>
  <c r="H91" i="4" s="1"/>
  <c r="H53" i="4"/>
  <c r="H61" i="4" s="1"/>
  <c r="H67" i="4"/>
  <c r="H87" i="4" s="1"/>
  <c r="H68" i="4"/>
  <c r="H88" i="4" s="1"/>
  <c r="H69" i="4"/>
  <c r="H89" i="4" s="1"/>
  <c r="H70" i="4"/>
  <c r="H90" i="4" s="1"/>
  <c r="H71" i="4"/>
  <c r="H55" i="4"/>
  <c r="F48" i="9"/>
  <c r="I9" i="4"/>
  <c r="I8" i="4"/>
  <c r="H127" i="4"/>
  <c r="H126" i="4"/>
  <c r="G100" i="4"/>
  <c r="G99" i="4"/>
  <c r="H9" i="10"/>
  <c r="F6" i="5"/>
  <c r="F7" i="5" s="1"/>
  <c r="H62" i="4" l="1"/>
  <c r="F80" i="4"/>
  <c r="F82" i="4" s="1"/>
  <c r="F92" i="4"/>
  <c r="F93" i="4" s="1"/>
  <c r="H93" i="4"/>
  <c r="J21" i="5"/>
  <c r="K16" i="5"/>
  <c r="H24" i="5"/>
  <c r="H18" i="5"/>
  <c r="F58" i="4"/>
  <c r="G93" i="4"/>
  <c r="G94" i="4" s="1"/>
  <c r="G20" i="5"/>
  <c r="G39" i="28"/>
  <c r="H98" i="4"/>
  <c r="K31" i="5"/>
  <c r="H29" i="3"/>
  <c r="H30" i="3" s="1"/>
  <c r="H32" i="3" s="1"/>
  <c r="H22" i="3"/>
  <c r="H23" i="3" s="1"/>
  <c r="H25" i="3" s="1"/>
  <c r="I18" i="3"/>
  <c r="G59" i="4"/>
  <c r="G62" i="4" s="1"/>
  <c r="G61" i="4"/>
  <c r="I4" i="9"/>
  <c r="H80" i="4"/>
  <c r="L28" i="5"/>
  <c r="L29" i="5" s="1"/>
  <c r="I31" i="28"/>
  <c r="S18" i="21"/>
  <c r="S25" i="21" s="1"/>
  <c r="S26" i="21" s="1"/>
  <c r="F28" i="4" s="1"/>
  <c r="F22" i="4"/>
  <c r="F26" i="4"/>
  <c r="F23" i="4"/>
  <c r="F25" i="4"/>
  <c r="G11" i="9"/>
  <c r="I73" i="4" s="1"/>
  <c r="I92" i="4" s="1"/>
  <c r="G17" i="9"/>
  <c r="G18" i="9" s="1"/>
  <c r="I81" i="4"/>
  <c r="G28" i="9"/>
  <c r="H6" i="9"/>
  <c r="I5" i="9"/>
  <c r="J4" i="9" s="1"/>
  <c r="G27" i="9"/>
  <c r="G29" i="9" s="1"/>
  <c r="I11" i="4"/>
  <c r="I12" i="4"/>
  <c r="K21" i="26"/>
  <c r="K8" i="26"/>
  <c r="M6" i="26"/>
  <c r="L20" i="26"/>
  <c r="L7" i="26"/>
  <c r="J10" i="26"/>
  <c r="J23" i="26" s="1"/>
  <c r="J22" i="26"/>
  <c r="H13" i="4"/>
  <c r="G43" i="4"/>
  <c r="G79" i="4"/>
  <c r="G82" i="4" s="1"/>
  <c r="H110" i="4"/>
  <c r="H115" i="4" s="1"/>
  <c r="G6" i="5"/>
  <c r="G7" i="5" s="1"/>
  <c r="G12" i="3"/>
  <c r="H10" i="3"/>
  <c r="I17" i="5"/>
  <c r="G95" i="4"/>
  <c r="I127" i="4"/>
  <c r="I126" i="4"/>
  <c r="R4" i="10"/>
  <c r="J4" i="3"/>
  <c r="I6" i="3"/>
  <c r="R21" i="10"/>
  <c r="H40" i="9"/>
  <c r="I4" i="10"/>
  <c r="I21" i="10"/>
  <c r="Q14" i="3"/>
  <c r="F14" i="3"/>
  <c r="I9" i="10"/>
  <c r="I25" i="5"/>
  <c r="E50" i="9"/>
  <c r="T22" i="21"/>
  <c r="T23" i="21" s="1"/>
  <c r="K35" i="4"/>
  <c r="H34" i="9"/>
  <c r="I33" i="9"/>
  <c r="H78" i="4"/>
  <c r="S11" i="3"/>
  <c r="R12" i="3"/>
  <c r="I18" i="5" l="1"/>
  <c r="I24" i="5"/>
  <c r="G40" i="28"/>
  <c r="I57" i="4"/>
  <c r="F61" i="4"/>
  <c r="F59" i="4"/>
  <c r="H20" i="5"/>
  <c r="H39" i="28"/>
  <c r="H40" i="28" s="1"/>
  <c r="L16" i="5"/>
  <c r="K21" i="5"/>
  <c r="L31" i="5"/>
  <c r="I29" i="3"/>
  <c r="I30" i="3" s="1"/>
  <c r="I32" i="3" s="1"/>
  <c r="I22" i="3"/>
  <c r="I23" i="3" s="1"/>
  <c r="I25" i="3" s="1"/>
  <c r="J18" i="3"/>
  <c r="I80" i="4"/>
  <c r="G83" i="4"/>
  <c r="G84" i="4"/>
  <c r="F84" i="4"/>
  <c r="F83" i="4"/>
  <c r="F95" i="4"/>
  <c r="F94" i="4"/>
  <c r="M28" i="5"/>
  <c r="M29" i="5" s="1"/>
  <c r="G64" i="4"/>
  <c r="G103" i="4"/>
  <c r="G111" i="4"/>
  <c r="G116" i="4" s="1"/>
  <c r="G130" i="4"/>
  <c r="G112" i="4"/>
  <c r="G117" i="4" s="1"/>
  <c r="G110" i="4"/>
  <c r="G115" i="4" s="1"/>
  <c r="G109" i="4"/>
  <c r="G114" i="4" s="1"/>
  <c r="G118" i="4" s="1"/>
  <c r="J31" i="28"/>
  <c r="F30" i="4"/>
  <c r="F33" i="4" s="1"/>
  <c r="F29" i="4"/>
  <c r="F32" i="4" s="1"/>
  <c r="F27" i="4"/>
  <c r="I23" i="9"/>
  <c r="K6" i="4" s="1"/>
  <c r="I6" i="9"/>
  <c r="G13" i="9"/>
  <c r="G47" i="9"/>
  <c r="I54" i="4" s="1"/>
  <c r="I70" i="4"/>
  <c r="I90" i="4" s="1"/>
  <c r="I67" i="4"/>
  <c r="I87" i="4" s="1"/>
  <c r="I69" i="4"/>
  <c r="I89" i="4" s="1"/>
  <c r="G48" i="9"/>
  <c r="I53" i="4"/>
  <c r="I72" i="4"/>
  <c r="I91" i="4" s="1"/>
  <c r="I68" i="4"/>
  <c r="I88" i="4" s="1"/>
  <c r="I71" i="4"/>
  <c r="I55" i="4"/>
  <c r="J5" i="9"/>
  <c r="K4" i="9" s="1"/>
  <c r="H10" i="9"/>
  <c r="J125" i="4" s="1"/>
  <c r="H16" i="9"/>
  <c r="H24" i="9"/>
  <c r="J10" i="4" s="1"/>
  <c r="M25" i="9"/>
  <c r="H15" i="9"/>
  <c r="H26" i="9"/>
  <c r="L21" i="26"/>
  <c r="L8" i="26"/>
  <c r="N6" i="26"/>
  <c r="M20" i="26"/>
  <c r="M7" i="26"/>
  <c r="K10" i="26"/>
  <c r="K23" i="26" s="1"/>
  <c r="K22" i="26"/>
  <c r="G24" i="4"/>
  <c r="H6" i="5"/>
  <c r="H7" i="5" s="1"/>
  <c r="L35" i="4"/>
  <c r="H130" i="4"/>
  <c r="H103" i="4"/>
  <c r="H64" i="4"/>
  <c r="H111" i="4"/>
  <c r="H112" i="4"/>
  <c r="I40" i="9"/>
  <c r="S21" i="10"/>
  <c r="R14" i="3"/>
  <c r="F50" i="9"/>
  <c r="U22" i="21"/>
  <c r="U23" i="21" s="1"/>
  <c r="J6" i="3"/>
  <c r="K4" i="3"/>
  <c r="I10" i="3"/>
  <c r="H12" i="3"/>
  <c r="S12" i="3"/>
  <c r="T11" i="3"/>
  <c r="I34" i="9"/>
  <c r="J33" i="9"/>
  <c r="E51" i="9"/>
  <c r="G21" i="4"/>
  <c r="J25" i="5"/>
  <c r="J9" i="10"/>
  <c r="H76" i="4"/>
  <c r="H42" i="4"/>
  <c r="H77" i="4"/>
  <c r="J21" i="10"/>
  <c r="J4" i="10"/>
  <c r="S4" i="10"/>
  <c r="J17" i="5"/>
  <c r="H109" i="4"/>
  <c r="G14" i="3"/>
  <c r="L21" i="5" l="1"/>
  <c r="M16" i="5"/>
  <c r="I58" i="4"/>
  <c r="I61" i="4" s="1"/>
  <c r="J18" i="5"/>
  <c r="J24" i="5"/>
  <c r="F62" i="4"/>
  <c r="I93" i="4"/>
  <c r="I20" i="5"/>
  <c r="I39" i="28"/>
  <c r="I40" i="28" s="1"/>
  <c r="M31" i="5"/>
  <c r="J29" i="3"/>
  <c r="J30" i="3" s="1"/>
  <c r="J32" i="3" s="1"/>
  <c r="J22" i="3"/>
  <c r="J23" i="3" s="1"/>
  <c r="J25" i="3" s="1"/>
  <c r="K18" i="3"/>
  <c r="F37" i="4"/>
  <c r="F38" i="4" s="1"/>
  <c r="N28" i="5"/>
  <c r="N29" i="5" s="1"/>
  <c r="G132" i="4"/>
  <c r="G131" i="4"/>
  <c r="G104" i="4"/>
  <c r="G105" i="4"/>
  <c r="I13" i="4"/>
  <c r="G21" i="9"/>
  <c r="F45" i="4"/>
  <c r="F39" i="4"/>
  <c r="H28" i="9"/>
  <c r="H17" i="9"/>
  <c r="H18" i="9" s="1"/>
  <c r="H11" i="9"/>
  <c r="J73" i="4" s="1"/>
  <c r="J92" i="4" s="1"/>
  <c r="J81" i="4"/>
  <c r="J23" i="9"/>
  <c r="L6" i="4" s="1"/>
  <c r="J6" i="9"/>
  <c r="K8" i="4"/>
  <c r="K9" i="4"/>
  <c r="H27" i="9"/>
  <c r="H29" i="9" s="1"/>
  <c r="K5" i="9"/>
  <c r="K23" i="9" s="1"/>
  <c r="M6" i="4" s="1"/>
  <c r="N25" i="9"/>
  <c r="I10" i="9"/>
  <c r="K125" i="4" s="1"/>
  <c r="I16" i="9"/>
  <c r="I24" i="9"/>
  <c r="K10" i="4" s="1"/>
  <c r="I15" i="9"/>
  <c r="I27" i="9" s="1"/>
  <c r="I26" i="9"/>
  <c r="M21" i="26"/>
  <c r="M8" i="26"/>
  <c r="O6" i="26"/>
  <c r="N20" i="26"/>
  <c r="N7" i="26"/>
  <c r="L10" i="26"/>
  <c r="L23" i="26" s="1"/>
  <c r="L22" i="26"/>
  <c r="H14" i="3"/>
  <c r="H24" i="4"/>
  <c r="I94" i="4"/>
  <c r="I95" i="4"/>
  <c r="K17" i="5"/>
  <c r="K21" i="10"/>
  <c r="K9" i="10"/>
  <c r="T18" i="21"/>
  <c r="T25" i="21" s="1"/>
  <c r="T26" i="21" s="1"/>
  <c r="G22" i="4"/>
  <c r="J34" i="9"/>
  <c r="K33" i="9"/>
  <c r="U11" i="3"/>
  <c r="T12" i="3"/>
  <c r="I12" i="3"/>
  <c r="I14" i="3" s="1"/>
  <c r="J10" i="3"/>
  <c r="G50" i="9"/>
  <c r="V22" i="21"/>
  <c r="V23" i="21" s="1"/>
  <c r="G120" i="4"/>
  <c r="G119" i="4"/>
  <c r="G134" i="4"/>
  <c r="T21" i="10"/>
  <c r="J40" i="9"/>
  <c r="H116" i="4"/>
  <c r="H105" i="4"/>
  <c r="H104" i="4"/>
  <c r="M35" i="4"/>
  <c r="H114" i="4"/>
  <c r="T4" i="10"/>
  <c r="K4" i="10"/>
  <c r="H100" i="4"/>
  <c r="H99" i="4"/>
  <c r="H79" i="4"/>
  <c r="H82" i="4" s="1"/>
  <c r="H43" i="4"/>
  <c r="K25" i="5"/>
  <c r="S14" i="3"/>
  <c r="L4" i="3"/>
  <c r="K6" i="3"/>
  <c r="F51" i="9"/>
  <c r="H21" i="4"/>
  <c r="H95" i="4"/>
  <c r="H94" i="4"/>
  <c r="H117" i="4"/>
  <c r="H132" i="4"/>
  <c r="H131" i="4"/>
  <c r="I6" i="5"/>
  <c r="I7" i="5" s="1"/>
  <c r="G26" i="4"/>
  <c r="G25" i="4"/>
  <c r="G23" i="4"/>
  <c r="K24" i="5" l="1"/>
  <c r="K18" i="5"/>
  <c r="G38" i="28"/>
  <c r="I98" i="4"/>
  <c r="F130" i="4"/>
  <c r="F64" i="4"/>
  <c r="F112" i="4"/>
  <c r="F117" i="4" s="1"/>
  <c r="F103" i="4"/>
  <c r="F111" i="4"/>
  <c r="F116" i="4" s="1"/>
  <c r="J20" i="5"/>
  <c r="J39" i="28"/>
  <c r="J40" i="28" s="1"/>
  <c r="F110" i="4"/>
  <c r="F115" i="4" s="1"/>
  <c r="M21" i="5"/>
  <c r="N16" i="5"/>
  <c r="I59" i="4"/>
  <c r="F109" i="4"/>
  <c r="F114" i="4" s="1"/>
  <c r="F118" i="4" s="1"/>
  <c r="N31" i="5"/>
  <c r="K29" i="3"/>
  <c r="K30" i="3" s="1"/>
  <c r="K32" i="3" s="1"/>
  <c r="L18" i="3"/>
  <c r="K22" i="3"/>
  <c r="K23" i="3" s="1"/>
  <c r="K25" i="3" s="1"/>
  <c r="J80" i="4"/>
  <c r="H83" i="4"/>
  <c r="H84" i="4"/>
  <c r="I29" i="9"/>
  <c r="L4" i="9"/>
  <c r="K6" i="9"/>
  <c r="O28" i="5"/>
  <c r="O29" i="5" s="1"/>
  <c r="I76" i="4"/>
  <c r="I78" i="4"/>
  <c r="I42" i="4"/>
  <c r="I77" i="4"/>
  <c r="K31" i="28"/>
  <c r="F49" i="4"/>
  <c r="F47" i="4"/>
  <c r="L9" i="4"/>
  <c r="L8" i="4"/>
  <c r="I28" i="9"/>
  <c r="I17" i="9"/>
  <c r="I18" i="9" s="1"/>
  <c r="I11" i="9"/>
  <c r="K73" i="4" s="1"/>
  <c r="K92" i="4" s="1"/>
  <c r="K81" i="4"/>
  <c r="L5" i="9"/>
  <c r="L23" i="9" s="1"/>
  <c r="N6" i="4" s="1"/>
  <c r="N9" i="4" s="1"/>
  <c r="K24" i="9"/>
  <c r="M10" i="4" s="1"/>
  <c r="K26" i="9"/>
  <c r="K16" i="9"/>
  <c r="K10" i="9"/>
  <c r="M125" i="4" s="1"/>
  <c r="P25" i="9"/>
  <c r="K15" i="9"/>
  <c r="J24" i="9"/>
  <c r="L10" i="4" s="1"/>
  <c r="J10" i="9"/>
  <c r="L125" i="4" s="1"/>
  <c r="J16" i="9"/>
  <c r="O25" i="9"/>
  <c r="J26" i="9"/>
  <c r="J15" i="9"/>
  <c r="J126" i="4"/>
  <c r="J127" i="4"/>
  <c r="H48" i="9"/>
  <c r="J55" i="4"/>
  <c r="J69" i="4"/>
  <c r="J89" i="4" s="1"/>
  <c r="J57" i="4"/>
  <c r="H13" i="9"/>
  <c r="J53" i="4"/>
  <c r="J71" i="4"/>
  <c r="J67" i="4"/>
  <c r="J87" i="4" s="1"/>
  <c r="H47" i="9"/>
  <c r="J54" i="4" s="1"/>
  <c r="J68" i="4"/>
  <c r="J88" i="4" s="1"/>
  <c r="J72" i="4"/>
  <c r="J91" i="4" s="1"/>
  <c r="J70" i="4"/>
  <c r="J90" i="4" s="1"/>
  <c r="J11" i="4"/>
  <c r="J12" i="4"/>
  <c r="N21" i="26"/>
  <c r="N8" i="26"/>
  <c r="P6" i="26"/>
  <c r="O20" i="26"/>
  <c r="O7" i="26"/>
  <c r="M10" i="26"/>
  <c r="M23" i="26" s="1"/>
  <c r="M22" i="26"/>
  <c r="I24" i="4"/>
  <c r="J6" i="5"/>
  <c r="J7" i="5" s="1"/>
  <c r="U18" i="21"/>
  <c r="U25" i="21" s="1"/>
  <c r="U26" i="21" s="1"/>
  <c r="H22" i="4"/>
  <c r="N8" i="4"/>
  <c r="L6" i="3"/>
  <c r="M4" i="3"/>
  <c r="L4" i="10"/>
  <c r="U4" i="10"/>
  <c r="G138" i="4"/>
  <c r="G136" i="4"/>
  <c r="G51" i="9"/>
  <c r="I21" i="4"/>
  <c r="J12" i="3"/>
  <c r="K10" i="3"/>
  <c r="U12" i="3"/>
  <c r="G28" i="4"/>
  <c r="L21" i="10"/>
  <c r="L17" i="5"/>
  <c r="L25" i="5"/>
  <c r="H118" i="4"/>
  <c r="N35" i="4"/>
  <c r="K40" i="9"/>
  <c r="U21" i="10"/>
  <c r="H50" i="9"/>
  <c r="W22" i="21"/>
  <c r="W23" i="21" s="1"/>
  <c r="T14" i="3"/>
  <c r="K34" i="9"/>
  <c r="L33" i="9"/>
  <c r="L9" i="10"/>
  <c r="H26" i="4"/>
  <c r="H25" i="4"/>
  <c r="H23" i="4"/>
  <c r="L24" i="5" l="1"/>
  <c r="L18" i="5"/>
  <c r="J93" i="4"/>
  <c r="J58" i="4"/>
  <c r="J61" i="4" s="1"/>
  <c r="F134" i="4"/>
  <c r="F119" i="4"/>
  <c r="F120" i="4"/>
  <c r="I62" i="4"/>
  <c r="N21" i="5"/>
  <c r="O16" i="5"/>
  <c r="F104" i="4"/>
  <c r="F105" i="4"/>
  <c r="K20" i="5"/>
  <c r="K39" i="28"/>
  <c r="F131" i="4"/>
  <c r="F132" i="4"/>
  <c r="O31" i="5"/>
  <c r="L29" i="3"/>
  <c r="L30" i="3" s="1"/>
  <c r="L32" i="3" s="1"/>
  <c r="L22" i="3"/>
  <c r="L23" i="3" s="1"/>
  <c r="L25" i="3" s="1"/>
  <c r="M18" i="3"/>
  <c r="K80" i="4"/>
  <c r="J27" i="9"/>
  <c r="K27" i="9"/>
  <c r="L6" i="9"/>
  <c r="P28" i="5"/>
  <c r="P29" i="5" s="1"/>
  <c r="H21" i="9"/>
  <c r="I43" i="4"/>
  <c r="I79" i="4"/>
  <c r="I82" i="4" s="1"/>
  <c r="I99" i="4"/>
  <c r="I100" i="4"/>
  <c r="J13" i="4"/>
  <c r="J28" i="9"/>
  <c r="M11" i="4"/>
  <c r="M12" i="4"/>
  <c r="K127" i="4"/>
  <c r="K126" i="4"/>
  <c r="K55" i="4"/>
  <c r="I48" i="9"/>
  <c r="K69" i="4"/>
  <c r="K89" i="4" s="1"/>
  <c r="K57" i="4"/>
  <c r="K58" i="4" s="1"/>
  <c r="K59" i="4" s="1"/>
  <c r="K53" i="4"/>
  <c r="K68" i="4"/>
  <c r="K88" i="4" s="1"/>
  <c r="K72" i="4"/>
  <c r="K91" i="4" s="1"/>
  <c r="K71" i="4"/>
  <c r="I13" i="9"/>
  <c r="K70" i="4"/>
  <c r="K90" i="4" s="1"/>
  <c r="I47" i="9"/>
  <c r="K54" i="4" s="1"/>
  <c r="K67" i="4"/>
  <c r="K87" i="4" s="1"/>
  <c r="M9" i="4"/>
  <c r="M8" i="4"/>
  <c r="J29" i="9"/>
  <c r="M4" i="9"/>
  <c r="J17" i="9"/>
  <c r="J18" i="9" s="1"/>
  <c r="J11" i="9"/>
  <c r="L73" i="4" s="1"/>
  <c r="L92" i="4" s="1"/>
  <c r="L81" i="4"/>
  <c r="K11" i="9"/>
  <c r="K17" i="9"/>
  <c r="K18" i="9" s="1"/>
  <c r="M81" i="4"/>
  <c r="L10" i="9"/>
  <c r="N125" i="4" s="1"/>
  <c r="L26" i="9"/>
  <c r="L16" i="9"/>
  <c r="L24" i="9"/>
  <c r="N10" i="4" s="1"/>
  <c r="Q25" i="9"/>
  <c r="L15" i="9"/>
  <c r="K11" i="4"/>
  <c r="K12" i="4"/>
  <c r="K29" i="9"/>
  <c r="K28" i="9"/>
  <c r="O21" i="26"/>
  <c r="O8" i="26"/>
  <c r="Q6" i="26"/>
  <c r="P20" i="26"/>
  <c r="P7" i="26"/>
  <c r="N10" i="26"/>
  <c r="N23" i="26" s="1"/>
  <c r="N22" i="26"/>
  <c r="J14" i="3"/>
  <c r="K6" i="5"/>
  <c r="K7" i="5" s="1"/>
  <c r="J24" i="4"/>
  <c r="L34" i="9"/>
  <c r="M33" i="9"/>
  <c r="H51" i="9"/>
  <c r="J21" i="4"/>
  <c r="G29" i="4"/>
  <c r="G32" i="4" s="1"/>
  <c r="G30" i="4"/>
  <c r="G33" i="4" s="1"/>
  <c r="G27" i="4"/>
  <c r="U14" i="3"/>
  <c r="V4" i="10"/>
  <c r="N4" i="3"/>
  <c r="M6" i="3"/>
  <c r="M127" i="4"/>
  <c r="M126" i="4"/>
  <c r="I50" i="9"/>
  <c r="X22" i="21"/>
  <c r="X23" i="21" s="1"/>
  <c r="V21" i="10"/>
  <c r="L40" i="9"/>
  <c r="O35" i="4"/>
  <c r="H120" i="4"/>
  <c r="H119" i="4"/>
  <c r="H134" i="4"/>
  <c r="M25" i="5"/>
  <c r="M17" i="5"/>
  <c r="H28" i="4"/>
  <c r="K12" i="3"/>
  <c r="V18" i="21"/>
  <c r="V25" i="21" s="1"/>
  <c r="V26" i="21" s="1"/>
  <c r="I22" i="4"/>
  <c r="I26" i="4"/>
  <c r="I25" i="4"/>
  <c r="I23" i="4"/>
  <c r="K62" i="4" l="1"/>
  <c r="K93" i="4"/>
  <c r="M18" i="5"/>
  <c r="M24" i="5"/>
  <c r="H38" i="28"/>
  <c r="J98" i="4"/>
  <c r="L20" i="5"/>
  <c r="L39" i="28"/>
  <c r="L40" i="28" s="1"/>
  <c r="K40" i="28"/>
  <c r="O21" i="5"/>
  <c r="P16" i="5"/>
  <c r="I103" i="4"/>
  <c r="I109" i="4"/>
  <c r="I114" i="4" s="1"/>
  <c r="I110" i="4"/>
  <c r="I115" i="4" s="1"/>
  <c r="I111" i="4"/>
  <c r="I116" i="4" s="1"/>
  <c r="I112" i="4"/>
  <c r="I117" i="4" s="1"/>
  <c r="I130" i="4"/>
  <c r="I64" i="4"/>
  <c r="F136" i="4"/>
  <c r="F138" i="4"/>
  <c r="F140" i="4"/>
  <c r="J59" i="4"/>
  <c r="P31" i="5"/>
  <c r="M29" i="3"/>
  <c r="M30" i="3" s="1"/>
  <c r="M32" i="3" s="1"/>
  <c r="N18" i="3"/>
  <c r="M22" i="3"/>
  <c r="M23" i="3" s="1"/>
  <c r="M25" i="3" s="1"/>
  <c r="L80" i="4"/>
  <c r="K61" i="4"/>
  <c r="M57" i="4"/>
  <c r="M58" i="4" s="1"/>
  <c r="M59" i="4" s="1"/>
  <c r="M73" i="4"/>
  <c r="M92" i="4" s="1"/>
  <c r="L27" i="9"/>
  <c r="Q28" i="5"/>
  <c r="Q29" i="5" s="1"/>
  <c r="J94" i="4"/>
  <c r="J95" i="4"/>
  <c r="I84" i="4"/>
  <c r="I83" i="4"/>
  <c r="K13" i="4"/>
  <c r="I21" i="9"/>
  <c r="L31" i="28"/>
  <c r="L11" i="9"/>
  <c r="L17" i="9"/>
  <c r="L18" i="9" s="1"/>
  <c r="N81" i="4"/>
  <c r="L127" i="4"/>
  <c r="L126" i="4"/>
  <c r="L57" i="4"/>
  <c r="L58" i="4" s="1"/>
  <c r="L59" i="4" s="1"/>
  <c r="J13" i="9"/>
  <c r="J21" i="9" s="1"/>
  <c r="L53" i="4"/>
  <c r="L61" i="4" s="1"/>
  <c r="L70" i="4"/>
  <c r="L90" i="4" s="1"/>
  <c r="L67" i="4"/>
  <c r="L87" i="4" s="1"/>
  <c r="L71" i="4"/>
  <c r="L55" i="4"/>
  <c r="J47" i="9"/>
  <c r="L54" i="4" s="1"/>
  <c r="L62" i="4" s="1"/>
  <c r="L68" i="4"/>
  <c r="L88" i="4" s="1"/>
  <c r="L72" i="4"/>
  <c r="L91" i="4" s="1"/>
  <c r="L69" i="4"/>
  <c r="L89" i="4" s="1"/>
  <c r="J48" i="9"/>
  <c r="K130" i="4"/>
  <c r="K64" i="4"/>
  <c r="K112" i="4"/>
  <c r="K117" i="4" s="1"/>
  <c r="K103" i="4"/>
  <c r="K111" i="4"/>
  <c r="K116" i="4" s="1"/>
  <c r="L28" i="9"/>
  <c r="K13" i="9"/>
  <c r="M69" i="4"/>
  <c r="M89" i="4" s="1"/>
  <c r="M53" i="4"/>
  <c r="M61" i="4" s="1"/>
  <c r="M72" i="4"/>
  <c r="M91" i="4" s="1"/>
  <c r="M68" i="4"/>
  <c r="M88" i="4" s="1"/>
  <c r="K47" i="9"/>
  <c r="M54" i="4" s="1"/>
  <c r="M62" i="4" s="1"/>
  <c r="M70" i="4"/>
  <c r="M90" i="4" s="1"/>
  <c r="M67" i="4"/>
  <c r="M87" i="4" s="1"/>
  <c r="M71" i="4"/>
  <c r="K48" i="9"/>
  <c r="M55" i="4"/>
  <c r="M5" i="9"/>
  <c r="M23" i="9" s="1"/>
  <c r="O6" i="4" s="1"/>
  <c r="K109" i="4"/>
  <c r="K114" i="4" s="1"/>
  <c r="K110" i="4"/>
  <c r="K115" i="4" s="1"/>
  <c r="L12" i="4"/>
  <c r="L11" i="4"/>
  <c r="J78" i="4"/>
  <c r="J77" i="4"/>
  <c r="J76" i="4"/>
  <c r="J42" i="4"/>
  <c r="N57" i="4"/>
  <c r="N58" i="4" s="1"/>
  <c r="N59" i="4" s="1"/>
  <c r="L29" i="9"/>
  <c r="P21" i="26"/>
  <c r="P8" i="26"/>
  <c r="R6" i="26"/>
  <c r="Q20" i="26"/>
  <c r="Q7" i="26"/>
  <c r="O10" i="26"/>
  <c r="O23" i="26" s="1"/>
  <c r="O22" i="26"/>
  <c r="L6" i="5"/>
  <c r="L7" i="5" s="1"/>
  <c r="I28" i="4"/>
  <c r="K24" i="4"/>
  <c r="M40" i="9"/>
  <c r="I51" i="9"/>
  <c r="K21" i="4"/>
  <c r="M34" i="9"/>
  <c r="N33" i="9"/>
  <c r="H29" i="4"/>
  <c r="H32" i="4" s="1"/>
  <c r="H30" i="4"/>
  <c r="H33" i="4" s="1"/>
  <c r="H27" i="4"/>
  <c r="H136" i="4"/>
  <c r="H138" i="4"/>
  <c r="N17" i="5"/>
  <c r="N25" i="5"/>
  <c r="P35" i="4"/>
  <c r="J50" i="9"/>
  <c r="Y22" i="21"/>
  <c r="Y23" i="21" s="1"/>
  <c r="N6" i="3"/>
  <c r="O4" i="3"/>
  <c r="W18" i="21"/>
  <c r="W25" i="21" s="1"/>
  <c r="W26" i="21" s="1"/>
  <c r="J22" i="4"/>
  <c r="N127" i="4"/>
  <c r="N126" i="4"/>
  <c r="J26" i="4"/>
  <c r="J25" i="4"/>
  <c r="J23" i="4"/>
  <c r="K14" i="3"/>
  <c r="G37" i="4"/>
  <c r="L93" i="4" l="1"/>
  <c r="I131" i="4"/>
  <c r="I132" i="4"/>
  <c r="I118" i="4"/>
  <c r="P21" i="5"/>
  <c r="Q16" i="5"/>
  <c r="N18" i="5"/>
  <c r="N24" i="5"/>
  <c r="J38" i="28"/>
  <c r="L98" i="4"/>
  <c r="I38" i="28"/>
  <c r="K98" i="4"/>
  <c r="J62" i="4"/>
  <c r="I104" i="4"/>
  <c r="I105" i="4"/>
  <c r="M93" i="4"/>
  <c r="M20" i="5"/>
  <c r="M39" i="28"/>
  <c r="M40" i="28" s="1"/>
  <c r="Q31" i="5"/>
  <c r="N29" i="3"/>
  <c r="N30" i="3" s="1"/>
  <c r="N32" i="3" s="1"/>
  <c r="N22" i="3"/>
  <c r="N23" i="3" s="1"/>
  <c r="N25" i="3" s="1"/>
  <c r="O18" i="3"/>
  <c r="M80" i="4"/>
  <c r="M6" i="9"/>
  <c r="N73" i="4"/>
  <c r="N92" i="4" s="1"/>
  <c r="L48" i="9"/>
  <c r="L47" i="9"/>
  <c r="N4" i="9"/>
  <c r="R28" i="5"/>
  <c r="R29" i="5" s="1"/>
  <c r="K94" i="4"/>
  <c r="K95" i="4"/>
  <c r="K118" i="4"/>
  <c r="K120" i="4" s="1"/>
  <c r="K119" i="4"/>
  <c r="M13" i="4"/>
  <c r="K21" i="9"/>
  <c r="M31" i="28"/>
  <c r="M109" i="4"/>
  <c r="M114" i="4" s="1"/>
  <c r="M130" i="4"/>
  <c r="M131" i="4" s="1"/>
  <c r="M64" i="4"/>
  <c r="M112" i="4"/>
  <c r="M117" i="4" s="1"/>
  <c r="M110" i="4"/>
  <c r="M103" i="4"/>
  <c r="M105" i="4" s="1"/>
  <c r="M111" i="4"/>
  <c r="M116" i="4" s="1"/>
  <c r="J100" i="4"/>
  <c r="J99" i="4"/>
  <c r="M10" i="9"/>
  <c r="M24" i="9"/>
  <c r="O10" i="4" s="1"/>
  <c r="M26" i="9"/>
  <c r="M16" i="9"/>
  <c r="M15" i="9"/>
  <c r="R25" i="9"/>
  <c r="N12" i="4"/>
  <c r="N11" i="4"/>
  <c r="K78" i="4"/>
  <c r="K42" i="4"/>
  <c r="K76" i="4"/>
  <c r="K77" i="4"/>
  <c r="K104" i="4"/>
  <c r="K105" i="4"/>
  <c r="L13" i="4"/>
  <c r="L13" i="9"/>
  <c r="N54" i="4"/>
  <c r="N62" i="4" s="1"/>
  <c r="N70" i="4"/>
  <c r="N90" i="4" s="1"/>
  <c r="N72" i="4"/>
  <c r="N91" i="4" s="1"/>
  <c r="N67" i="4"/>
  <c r="N87" i="4" s="1"/>
  <c r="N93" i="4" s="1"/>
  <c r="N69" i="4"/>
  <c r="N89" i="4" s="1"/>
  <c r="N71" i="4"/>
  <c r="N53" i="4"/>
  <c r="N68" i="4"/>
  <c r="N88" i="4" s="1"/>
  <c r="N55" i="4"/>
  <c r="L110" i="4"/>
  <c r="L115" i="4" s="1"/>
  <c r="J79" i="4"/>
  <c r="J82" i="4" s="1"/>
  <c r="J43" i="4"/>
  <c r="N5" i="9"/>
  <c r="N23" i="9" s="1"/>
  <c r="P6" i="4" s="1"/>
  <c r="K131" i="4"/>
  <c r="K132" i="4"/>
  <c r="Q21" i="26"/>
  <c r="Q8" i="26"/>
  <c r="S6" i="26"/>
  <c r="R20" i="26"/>
  <c r="R7" i="26"/>
  <c r="P10" i="26"/>
  <c r="P23" i="26" s="1"/>
  <c r="P22" i="26"/>
  <c r="H37" i="4"/>
  <c r="H39" i="4" s="1"/>
  <c r="J28" i="4"/>
  <c r="L24" i="4"/>
  <c r="P4" i="3"/>
  <c r="O6" i="3"/>
  <c r="J51" i="9"/>
  <c r="L21" i="4"/>
  <c r="O25" i="5"/>
  <c r="O17" i="5"/>
  <c r="M132" i="4"/>
  <c r="N34" i="9"/>
  <c r="O33" i="9"/>
  <c r="M115" i="4"/>
  <c r="K26" i="4"/>
  <c r="K25" i="4"/>
  <c r="K23" i="4"/>
  <c r="I29" i="4"/>
  <c r="I32" i="4" s="1"/>
  <c r="I30" i="4"/>
  <c r="I33" i="4" s="1"/>
  <c r="I27" i="4"/>
  <c r="G38" i="4"/>
  <c r="G39" i="4"/>
  <c r="G45" i="4"/>
  <c r="K50" i="9"/>
  <c r="Z22" i="21"/>
  <c r="Z23" i="21" s="1"/>
  <c r="Q35" i="4"/>
  <c r="M104" i="4"/>
  <c r="X18" i="21"/>
  <c r="X25" i="21" s="1"/>
  <c r="X26" i="21" s="1"/>
  <c r="K22" i="4"/>
  <c r="N40" i="9"/>
  <c r="M6" i="5"/>
  <c r="M7" i="5" s="1"/>
  <c r="K38" i="28" l="1"/>
  <c r="M98" i="4"/>
  <c r="J130" i="4"/>
  <c r="J112" i="4"/>
  <c r="J117" i="4" s="1"/>
  <c r="J111" i="4"/>
  <c r="J116" i="4" s="1"/>
  <c r="J109" i="4"/>
  <c r="J114" i="4" s="1"/>
  <c r="J118" i="4" s="1"/>
  <c r="J64" i="4"/>
  <c r="J103" i="4"/>
  <c r="J110" i="4"/>
  <c r="J115" i="4" s="1"/>
  <c r="N20" i="5"/>
  <c r="N39" i="28"/>
  <c r="N40" i="28" s="1"/>
  <c r="O18" i="5"/>
  <c r="O24" i="5"/>
  <c r="N6" i="9"/>
  <c r="M28" i="9"/>
  <c r="M27" i="9"/>
  <c r="O81" i="4"/>
  <c r="O125" i="4"/>
  <c r="Q21" i="5"/>
  <c r="R16" i="5"/>
  <c r="I119" i="4"/>
  <c r="I120" i="4"/>
  <c r="I134" i="4"/>
  <c r="R31" i="5"/>
  <c r="O29" i="3"/>
  <c r="O30" i="3" s="1"/>
  <c r="O32" i="3" s="1"/>
  <c r="O22" i="3"/>
  <c r="O23" i="3" s="1"/>
  <c r="O25" i="3" s="1"/>
  <c r="P18" i="3"/>
  <c r="O4" i="9"/>
  <c r="N61" i="4"/>
  <c r="N110" i="4" s="1"/>
  <c r="N115" i="4" s="1"/>
  <c r="N80" i="4"/>
  <c r="J83" i="4"/>
  <c r="J134" i="4"/>
  <c r="J136" i="4" s="1"/>
  <c r="J84" i="4"/>
  <c r="M95" i="4"/>
  <c r="M94" i="4"/>
  <c r="L109" i="4"/>
  <c r="L114" i="4" s="1"/>
  <c r="S28" i="5"/>
  <c r="S29" i="5" s="1"/>
  <c r="N130" i="4"/>
  <c r="N131" i="4" s="1"/>
  <c r="N64" i="4"/>
  <c r="N112" i="4"/>
  <c r="N117" i="4" s="1"/>
  <c r="N109" i="4"/>
  <c r="N103" i="4"/>
  <c r="N104" i="4" s="1"/>
  <c r="M118" i="4"/>
  <c r="M120" i="4" s="1"/>
  <c r="N13" i="4"/>
  <c r="L21" i="9"/>
  <c r="N98" i="4" s="1"/>
  <c r="N31" i="28"/>
  <c r="H38" i="4"/>
  <c r="M77" i="4"/>
  <c r="M42" i="4"/>
  <c r="M76" i="4"/>
  <c r="M78" i="4"/>
  <c r="N26" i="9"/>
  <c r="N15" i="9"/>
  <c r="S25" i="9"/>
  <c r="N16" i="9"/>
  <c r="N10" i="9"/>
  <c r="P125" i="4" s="1"/>
  <c r="N24" i="9"/>
  <c r="P10" i="4" s="1"/>
  <c r="L95" i="4"/>
  <c r="L94" i="4"/>
  <c r="K79" i="4"/>
  <c r="K82" i="4" s="1"/>
  <c r="K43" i="4"/>
  <c r="O11" i="4"/>
  <c r="O12" i="4"/>
  <c r="J138" i="4"/>
  <c r="O5" i="9"/>
  <c r="O23" i="9" s="1"/>
  <c r="Q6" i="4" s="1"/>
  <c r="L130" i="4"/>
  <c r="L64" i="4"/>
  <c r="L112" i="4"/>
  <c r="L117" i="4" s="1"/>
  <c r="L103" i="4"/>
  <c r="L111" i="4"/>
  <c r="L116" i="4" s="1"/>
  <c r="L118" i="4" s="1"/>
  <c r="N77" i="4"/>
  <c r="N42" i="4"/>
  <c r="N76" i="4"/>
  <c r="L78" i="4"/>
  <c r="L76" i="4"/>
  <c r="L77" i="4"/>
  <c r="L42" i="4"/>
  <c r="K99" i="4"/>
  <c r="K100" i="4"/>
  <c r="O8" i="4"/>
  <c r="O9" i="4"/>
  <c r="M11" i="9"/>
  <c r="O73" i="4" s="1"/>
  <c r="O92" i="4" s="1"/>
  <c r="M17" i="9"/>
  <c r="M18" i="9" s="1"/>
  <c r="M29" i="9"/>
  <c r="R21" i="26"/>
  <c r="R8" i="26"/>
  <c r="T6" i="26"/>
  <c r="S20" i="26"/>
  <c r="S7" i="26"/>
  <c r="Q10" i="26"/>
  <c r="Q23" i="26" s="1"/>
  <c r="Q22" i="26"/>
  <c r="H45" i="4"/>
  <c r="H47" i="4" s="1"/>
  <c r="I37" i="4"/>
  <c r="I38" i="4" s="1"/>
  <c r="K28" i="4"/>
  <c r="N95" i="4"/>
  <c r="N94" i="4"/>
  <c r="N6" i="5"/>
  <c r="N7" i="5" s="1"/>
  <c r="M24" i="4"/>
  <c r="N105" i="4"/>
  <c r="O40" i="9"/>
  <c r="K51" i="9"/>
  <c r="M21" i="4"/>
  <c r="G49" i="4"/>
  <c r="G47" i="4"/>
  <c r="G140" i="4"/>
  <c r="N114" i="4"/>
  <c r="O34" i="9"/>
  <c r="P33" i="9"/>
  <c r="Y18" i="21"/>
  <c r="Y25" i="21" s="1"/>
  <c r="Y26" i="21" s="1"/>
  <c r="L22" i="4"/>
  <c r="L26" i="4"/>
  <c r="L25" i="4"/>
  <c r="L23" i="4"/>
  <c r="J29" i="4"/>
  <c r="J32" i="4" s="1"/>
  <c r="J30" i="4"/>
  <c r="J33" i="4" s="1"/>
  <c r="J27" i="4"/>
  <c r="N132" i="4"/>
  <c r="R35" i="4"/>
  <c r="L50" i="9"/>
  <c r="AA22" i="21"/>
  <c r="AA23" i="21" s="1"/>
  <c r="M119" i="4"/>
  <c r="P17" i="5"/>
  <c r="P25" i="5"/>
  <c r="P6" i="3"/>
  <c r="Q4" i="3"/>
  <c r="O6" i="9" l="1"/>
  <c r="N111" i="4"/>
  <c r="N116" i="4" s="1"/>
  <c r="S16" i="5"/>
  <c r="R21" i="5"/>
  <c r="O20" i="5"/>
  <c r="O39" i="28"/>
  <c r="O40" i="28" s="1"/>
  <c r="J132" i="4"/>
  <c r="J131" i="4"/>
  <c r="P18" i="5"/>
  <c r="P24" i="5"/>
  <c r="I136" i="4"/>
  <c r="I138" i="4"/>
  <c r="J104" i="4"/>
  <c r="J105" i="4"/>
  <c r="J120" i="4"/>
  <c r="J119" i="4"/>
  <c r="S31" i="5"/>
  <c r="P29" i="3"/>
  <c r="P30" i="3" s="1"/>
  <c r="P32" i="3" s="1"/>
  <c r="Q18" i="3"/>
  <c r="P22" i="3"/>
  <c r="P23" i="3" s="1"/>
  <c r="P25" i="3" s="1"/>
  <c r="O80" i="4"/>
  <c r="N78" i="4"/>
  <c r="L38" i="28"/>
  <c r="K83" i="4"/>
  <c r="K134" i="4"/>
  <c r="K136" i="4" s="1"/>
  <c r="K84" i="4"/>
  <c r="I39" i="4"/>
  <c r="P4" i="9"/>
  <c r="N28" i="9"/>
  <c r="T28" i="5"/>
  <c r="T29" i="5" s="1"/>
  <c r="I45" i="4"/>
  <c r="H49" i="4"/>
  <c r="H140" i="4"/>
  <c r="O31" i="28"/>
  <c r="L120" i="4"/>
  <c r="L119" i="4"/>
  <c r="O127" i="4"/>
  <c r="O126" i="4"/>
  <c r="M13" i="9"/>
  <c r="M21" i="9" s="1"/>
  <c r="O53" i="4"/>
  <c r="O70" i="4"/>
  <c r="O90" i="4" s="1"/>
  <c r="O68" i="4"/>
  <c r="O88" i="4" s="1"/>
  <c r="M47" i="9"/>
  <c r="O54" i="4" s="1"/>
  <c r="O72" i="4"/>
  <c r="O91" i="4" s="1"/>
  <c r="O67" i="4"/>
  <c r="O87" i="4" s="1"/>
  <c r="O71" i="4"/>
  <c r="M48" i="9"/>
  <c r="O69" i="4"/>
  <c r="O89" i="4" s="1"/>
  <c r="O55" i="4"/>
  <c r="O57" i="4"/>
  <c r="O58" i="4" s="1"/>
  <c r="L79" i="4"/>
  <c r="L82" i="4" s="1"/>
  <c r="L43" i="4"/>
  <c r="L99" i="4"/>
  <c r="L100" i="4"/>
  <c r="N100" i="4"/>
  <c r="N99" i="4"/>
  <c r="L105" i="4"/>
  <c r="L104" i="4"/>
  <c r="T25" i="9"/>
  <c r="O15" i="9"/>
  <c r="O26" i="9"/>
  <c r="O16" i="9"/>
  <c r="O10" i="9"/>
  <c r="Q125" i="4" s="1"/>
  <c r="O24" i="9"/>
  <c r="Q10" i="4" s="1"/>
  <c r="O28" i="9"/>
  <c r="P8" i="4"/>
  <c r="P9" i="4"/>
  <c r="P81" i="4"/>
  <c r="N17" i="9"/>
  <c r="N18" i="9" s="1"/>
  <c r="N11" i="9"/>
  <c r="M100" i="4"/>
  <c r="M99" i="4"/>
  <c r="K138" i="4"/>
  <c r="N43" i="4"/>
  <c r="N79" i="4"/>
  <c r="L132" i="4"/>
  <c r="L131" i="4"/>
  <c r="P5" i="9"/>
  <c r="P23" i="9" s="1"/>
  <c r="R6" i="4" s="1"/>
  <c r="P12" i="4"/>
  <c r="P11" i="4"/>
  <c r="M79" i="4"/>
  <c r="M82" i="4" s="1"/>
  <c r="M43" i="4"/>
  <c r="N27" i="9"/>
  <c r="N29" i="9" s="1"/>
  <c r="S21" i="26"/>
  <c r="S8" i="26"/>
  <c r="U6" i="26"/>
  <c r="T20" i="26"/>
  <c r="T7" i="26"/>
  <c r="R10" i="26"/>
  <c r="R23" i="26" s="1"/>
  <c r="R22" i="26"/>
  <c r="J37" i="4"/>
  <c r="J39" i="4" s="1"/>
  <c r="N24" i="4"/>
  <c r="L28" i="4"/>
  <c r="O6" i="5"/>
  <c r="O7" i="5" s="1"/>
  <c r="R4" i="3"/>
  <c r="Q6" i="3"/>
  <c r="I49" i="4"/>
  <c r="I47" i="4"/>
  <c r="I140" i="4"/>
  <c r="L51" i="9"/>
  <c r="N21" i="4"/>
  <c r="Z18" i="21"/>
  <c r="Z25" i="21" s="1"/>
  <c r="Z26" i="21" s="1"/>
  <c r="M22" i="4"/>
  <c r="M26" i="4"/>
  <c r="M25" i="4"/>
  <c r="M23" i="4"/>
  <c r="Q25" i="5"/>
  <c r="Q17" i="5"/>
  <c r="M50" i="9"/>
  <c r="AB22" i="21"/>
  <c r="AB23" i="21" s="1"/>
  <c r="S35" i="4"/>
  <c r="P34" i="9"/>
  <c r="Q33" i="9"/>
  <c r="N118" i="4"/>
  <c r="P40" i="9"/>
  <c r="K29" i="4"/>
  <c r="K32" i="4" s="1"/>
  <c r="K30" i="4"/>
  <c r="K33" i="4" s="1"/>
  <c r="K27" i="4"/>
  <c r="O93" i="4" l="1"/>
  <c r="P6" i="9"/>
  <c r="Q18" i="5"/>
  <c r="Q24" i="5"/>
  <c r="M38" i="28"/>
  <c r="O98" i="4"/>
  <c r="N82" i="4"/>
  <c r="P20" i="5"/>
  <c r="P39" i="28"/>
  <c r="P40" i="28" s="1"/>
  <c r="O59" i="4"/>
  <c r="T16" i="5"/>
  <c r="S21" i="5"/>
  <c r="T31" i="5"/>
  <c r="Q29" i="3"/>
  <c r="Q30" i="3" s="1"/>
  <c r="Q32" i="3" s="1"/>
  <c r="Q22" i="3"/>
  <c r="Q23" i="3" s="1"/>
  <c r="Q25" i="3" s="1"/>
  <c r="R18" i="3"/>
  <c r="O61" i="4"/>
  <c r="O62" i="4"/>
  <c r="M134" i="4"/>
  <c r="M84" i="4"/>
  <c r="N84" i="4"/>
  <c r="N83" i="4"/>
  <c r="L84" i="4"/>
  <c r="L134" i="4"/>
  <c r="L83" i="4"/>
  <c r="P73" i="4"/>
  <c r="P92" i="4" s="1"/>
  <c r="J38" i="4"/>
  <c r="U28" i="5"/>
  <c r="U29" i="5" s="1"/>
  <c r="M83" i="4"/>
  <c r="J45" i="4"/>
  <c r="P31" i="28"/>
  <c r="Q11" i="4"/>
  <c r="Q12" i="4"/>
  <c r="Q4" i="9"/>
  <c r="O27" i="9"/>
  <c r="O29" i="9" s="1"/>
  <c r="P26" i="9"/>
  <c r="P15" i="9"/>
  <c r="U25" i="9"/>
  <c r="P16" i="9"/>
  <c r="P24" i="9"/>
  <c r="R10" i="4" s="1"/>
  <c r="P10" i="9"/>
  <c r="R125" i="4" s="1"/>
  <c r="P28" i="9"/>
  <c r="P127" i="4"/>
  <c r="P126" i="4"/>
  <c r="N13" i="9"/>
  <c r="N21" i="9" s="1"/>
  <c r="P53" i="4"/>
  <c r="P68" i="4"/>
  <c r="P88" i="4" s="1"/>
  <c r="P70" i="4"/>
  <c r="P90" i="4" s="1"/>
  <c r="P69" i="4"/>
  <c r="P89" i="4" s="1"/>
  <c r="N47" i="9"/>
  <c r="P54" i="4" s="1"/>
  <c r="P67" i="4"/>
  <c r="P87" i="4" s="1"/>
  <c r="P72" i="4"/>
  <c r="P91" i="4" s="1"/>
  <c r="P71" i="4"/>
  <c r="N48" i="9"/>
  <c r="P55" i="4"/>
  <c r="P57" i="4"/>
  <c r="P58" i="4" s="1"/>
  <c r="P59" i="4" s="1"/>
  <c r="Q9" i="4"/>
  <c r="Q8" i="4"/>
  <c r="Q81" i="4"/>
  <c r="O11" i="9"/>
  <c r="O17" i="9"/>
  <c r="O18" i="9" s="1"/>
  <c r="O13" i="4"/>
  <c r="T21" i="26"/>
  <c r="T8" i="26"/>
  <c r="V6" i="26"/>
  <c r="U20" i="26"/>
  <c r="U7" i="26"/>
  <c r="S10" i="26"/>
  <c r="S23" i="26" s="1"/>
  <c r="S22" i="26"/>
  <c r="O24" i="4"/>
  <c r="M28" i="4"/>
  <c r="P6" i="5"/>
  <c r="P7" i="5" s="1"/>
  <c r="N120" i="4"/>
  <c r="N119" i="4"/>
  <c r="N134" i="4"/>
  <c r="Q34" i="9"/>
  <c r="R33" i="9"/>
  <c r="M51" i="9"/>
  <c r="O21" i="4"/>
  <c r="R25" i="5"/>
  <c r="J49" i="4"/>
  <c r="J47" i="4"/>
  <c r="J140" i="4"/>
  <c r="AA18" i="21"/>
  <c r="AA25" i="21" s="1"/>
  <c r="AA26" i="21" s="1"/>
  <c r="N22" i="4"/>
  <c r="N26" i="4"/>
  <c r="N25" i="4"/>
  <c r="N23" i="4"/>
  <c r="K37" i="4"/>
  <c r="Q40" i="9"/>
  <c r="T35" i="4"/>
  <c r="N50" i="9"/>
  <c r="AC22" i="21"/>
  <c r="AC23" i="21" s="1"/>
  <c r="R17" i="5"/>
  <c r="R6" i="3"/>
  <c r="S4" i="3"/>
  <c r="L29" i="4"/>
  <c r="L32" i="4" s="1"/>
  <c r="L30" i="4"/>
  <c r="L33" i="4" s="1"/>
  <c r="L27" i="4"/>
  <c r="U16" i="5" l="1"/>
  <c r="T21" i="5"/>
  <c r="Q20" i="5"/>
  <c r="Q39" i="28"/>
  <c r="Q40" i="28" s="1"/>
  <c r="R24" i="5"/>
  <c r="R18" i="5"/>
  <c r="P93" i="4"/>
  <c r="N38" i="28"/>
  <c r="P98" i="4"/>
  <c r="U31" i="5"/>
  <c r="R29" i="3"/>
  <c r="R30" i="3" s="1"/>
  <c r="R32" i="3" s="1"/>
  <c r="R22" i="3"/>
  <c r="R23" i="3" s="1"/>
  <c r="R25" i="3" s="1"/>
  <c r="S18" i="3"/>
  <c r="P80" i="4"/>
  <c r="P62" i="4"/>
  <c r="P61" i="4"/>
  <c r="Q73" i="4"/>
  <c r="Q92" i="4" s="1"/>
  <c r="M136" i="4"/>
  <c r="M138" i="4"/>
  <c r="L138" i="4"/>
  <c r="L136" i="4"/>
  <c r="V28" i="5"/>
  <c r="V29" i="5" s="1"/>
  <c r="Q31" i="28"/>
  <c r="O77" i="4"/>
  <c r="O76" i="4"/>
  <c r="O42" i="4"/>
  <c r="O78" i="4"/>
  <c r="Q126" i="4"/>
  <c r="Q127" i="4"/>
  <c r="P13" i="4"/>
  <c r="R8" i="4"/>
  <c r="R9" i="4"/>
  <c r="R11" i="4"/>
  <c r="R12" i="4"/>
  <c r="O94" i="4"/>
  <c r="O95" i="4"/>
  <c r="O13" i="9"/>
  <c r="O21" i="9" s="1"/>
  <c r="O47" i="9"/>
  <c r="Q54" i="4" s="1"/>
  <c r="Q72" i="4"/>
  <c r="Q91" i="4" s="1"/>
  <c r="Q67" i="4"/>
  <c r="Q87" i="4" s="1"/>
  <c r="Q71" i="4"/>
  <c r="Q53" i="4"/>
  <c r="Q70" i="4"/>
  <c r="Q90" i="4" s="1"/>
  <c r="Q68" i="4"/>
  <c r="Q88" i="4" s="1"/>
  <c r="Q55" i="4"/>
  <c r="Q69" i="4"/>
  <c r="Q89" i="4" s="1"/>
  <c r="O48" i="9"/>
  <c r="Q57" i="4"/>
  <c r="Q58" i="4" s="1"/>
  <c r="Q59" i="4" s="1"/>
  <c r="P130" i="4"/>
  <c r="P64" i="4"/>
  <c r="P103" i="4"/>
  <c r="P112" i="4"/>
  <c r="P117" i="4" s="1"/>
  <c r="R81" i="4"/>
  <c r="P11" i="9"/>
  <c r="R73" i="4" s="1"/>
  <c r="R92" i="4" s="1"/>
  <c r="P17" i="9"/>
  <c r="P18" i="9" s="1"/>
  <c r="O109" i="4"/>
  <c r="O114" i="4" s="1"/>
  <c r="O110" i="4"/>
  <c r="O115" i="4" s="1"/>
  <c r="O130" i="4"/>
  <c r="O112" i="4"/>
  <c r="O117" i="4" s="1"/>
  <c r="O64" i="4"/>
  <c r="O111" i="4"/>
  <c r="O116" i="4" s="1"/>
  <c r="O103" i="4"/>
  <c r="Q5" i="9"/>
  <c r="Q23" i="9" s="1"/>
  <c r="S6" i="4" s="1"/>
  <c r="Q6" i="9"/>
  <c r="P111" i="4"/>
  <c r="P116" i="4" s="1"/>
  <c r="P27" i="9"/>
  <c r="P29" i="9" s="1"/>
  <c r="U21" i="26"/>
  <c r="U8" i="26"/>
  <c r="W6" i="26"/>
  <c r="V20" i="26"/>
  <c r="V7" i="26"/>
  <c r="T10" i="26"/>
  <c r="T23" i="26" s="1"/>
  <c r="T22" i="26"/>
  <c r="L37" i="4"/>
  <c r="L39" i="4" s="1"/>
  <c r="P24" i="4"/>
  <c r="N28" i="4"/>
  <c r="Q6" i="5"/>
  <c r="Q7" i="5" s="1"/>
  <c r="N51" i="9"/>
  <c r="P21" i="4"/>
  <c r="R40" i="9"/>
  <c r="K38" i="4"/>
  <c r="K39" i="4"/>
  <c r="K45" i="4"/>
  <c r="S25" i="5"/>
  <c r="T4" i="3"/>
  <c r="S6" i="3"/>
  <c r="S17" i="5"/>
  <c r="O50" i="9"/>
  <c r="AD22" i="21"/>
  <c r="AD23" i="21" s="1"/>
  <c r="U35" i="4"/>
  <c r="AB18" i="21"/>
  <c r="AB25" i="21" s="1"/>
  <c r="AB26" i="21" s="1"/>
  <c r="O22" i="4"/>
  <c r="R34" i="9"/>
  <c r="S33" i="9"/>
  <c r="N136" i="4"/>
  <c r="N138" i="4"/>
  <c r="M29" i="4"/>
  <c r="M32" i="4" s="1"/>
  <c r="M30" i="4"/>
  <c r="M33" i="4" s="1"/>
  <c r="M27" i="4"/>
  <c r="O26" i="4"/>
  <c r="O25" i="4"/>
  <c r="O23" i="4"/>
  <c r="S24" i="5" l="1"/>
  <c r="S18" i="5"/>
  <c r="O38" i="28"/>
  <c r="Q98" i="4"/>
  <c r="R20" i="5"/>
  <c r="R39" i="28"/>
  <c r="R40" i="28" s="1"/>
  <c r="U21" i="5"/>
  <c r="V16" i="5"/>
  <c r="Q93" i="4"/>
  <c r="V31" i="5"/>
  <c r="S29" i="3"/>
  <c r="S30" i="3" s="1"/>
  <c r="S32" i="3" s="1"/>
  <c r="T18" i="3"/>
  <c r="S22" i="3"/>
  <c r="S23" i="3" s="1"/>
  <c r="S25" i="3" s="1"/>
  <c r="R80" i="4"/>
  <c r="Q80" i="4"/>
  <c r="Q61" i="4"/>
  <c r="Q62" i="4"/>
  <c r="W28" i="5"/>
  <c r="W29" i="5" s="1"/>
  <c r="R31" i="28"/>
  <c r="P95" i="4"/>
  <c r="P94" i="4"/>
  <c r="O104" i="4"/>
  <c r="O105" i="4"/>
  <c r="O132" i="4"/>
  <c r="O131" i="4"/>
  <c r="P13" i="9"/>
  <c r="R53" i="4"/>
  <c r="R70" i="4"/>
  <c r="R90" i="4" s="1"/>
  <c r="P48" i="9"/>
  <c r="R69" i="4"/>
  <c r="R89" i="4" s="1"/>
  <c r="P47" i="9"/>
  <c r="R54" i="4" s="1"/>
  <c r="R67" i="4"/>
  <c r="R87" i="4" s="1"/>
  <c r="R72" i="4"/>
  <c r="R91" i="4" s="1"/>
  <c r="R71" i="4"/>
  <c r="R55" i="4"/>
  <c r="R68" i="4"/>
  <c r="R88" i="4" s="1"/>
  <c r="R57" i="4"/>
  <c r="R58" i="4" s="1"/>
  <c r="R59" i="4" s="1"/>
  <c r="P132" i="4"/>
  <c r="P131" i="4"/>
  <c r="Q13" i="4"/>
  <c r="P76" i="4"/>
  <c r="P42" i="4"/>
  <c r="P77" i="4"/>
  <c r="P78" i="4"/>
  <c r="O99" i="4"/>
  <c r="O100" i="4"/>
  <c r="R4" i="9"/>
  <c r="O118" i="4"/>
  <c r="P109" i="4"/>
  <c r="P114" i="4" s="1"/>
  <c r="P110" i="4"/>
  <c r="P115" i="4" s="1"/>
  <c r="Q26" i="9"/>
  <c r="Q16" i="9"/>
  <c r="V25" i="9"/>
  <c r="Q15" i="9"/>
  <c r="Q27" i="9" s="1"/>
  <c r="Q24" i="9"/>
  <c r="S10" i="4" s="1"/>
  <c r="Q10" i="9"/>
  <c r="S125" i="4" s="1"/>
  <c r="R127" i="4"/>
  <c r="R126" i="4"/>
  <c r="P104" i="4"/>
  <c r="P105" i="4"/>
  <c r="Q130" i="4"/>
  <c r="Q64" i="4"/>
  <c r="Q112" i="4"/>
  <c r="Q117" i="4" s="1"/>
  <c r="Q103" i="4"/>
  <c r="O43" i="4"/>
  <c r="O79" i="4"/>
  <c r="O82" i="4" s="1"/>
  <c r="V21" i="26"/>
  <c r="V8" i="26"/>
  <c r="W7" i="26"/>
  <c r="W20" i="26"/>
  <c r="U10" i="26"/>
  <c r="U23" i="26" s="1"/>
  <c r="U22" i="26"/>
  <c r="L38" i="4"/>
  <c r="L45" i="4"/>
  <c r="L47" i="4" s="1"/>
  <c r="M37" i="4"/>
  <c r="M39" i="4" s="1"/>
  <c r="R6" i="5"/>
  <c r="R7" i="5" s="1"/>
  <c r="O28" i="4"/>
  <c r="Q24" i="4"/>
  <c r="S34" i="9"/>
  <c r="T33" i="9"/>
  <c r="O51" i="9"/>
  <c r="Q21" i="4"/>
  <c r="T17" i="5"/>
  <c r="T6" i="3"/>
  <c r="U4" i="3"/>
  <c r="T25" i="5"/>
  <c r="K49" i="4"/>
  <c r="K47" i="4"/>
  <c r="K140" i="4"/>
  <c r="S40" i="9"/>
  <c r="P26" i="4"/>
  <c r="P25" i="4"/>
  <c r="P23" i="4"/>
  <c r="V35" i="4"/>
  <c r="P50" i="9"/>
  <c r="AE22" i="21"/>
  <c r="AE23" i="21" s="1"/>
  <c r="AC18" i="21"/>
  <c r="AC25" i="21" s="1"/>
  <c r="AC26" i="21" s="1"/>
  <c r="P22" i="4"/>
  <c r="N29" i="4"/>
  <c r="N32" i="4" s="1"/>
  <c r="N30" i="4"/>
  <c r="N33" i="4" s="1"/>
  <c r="N27" i="4"/>
  <c r="T18" i="5" l="1"/>
  <c r="T24" i="5"/>
  <c r="R93" i="4"/>
  <c r="W16" i="5"/>
  <c r="V21" i="5"/>
  <c r="S20" i="5"/>
  <c r="S39" i="28"/>
  <c r="S40" i="28" s="1"/>
  <c r="T29" i="3"/>
  <c r="T30" i="3" s="1"/>
  <c r="T32" i="3" s="1"/>
  <c r="U18" i="3"/>
  <c r="T22" i="3"/>
  <c r="T23" i="3" s="1"/>
  <c r="T25" i="3" s="1"/>
  <c r="R62" i="4"/>
  <c r="R61" i="4"/>
  <c r="Q29" i="9"/>
  <c r="L49" i="4"/>
  <c r="L140" i="4"/>
  <c r="R13" i="4"/>
  <c r="P21" i="9"/>
  <c r="P118" i="4"/>
  <c r="P119" i="4" s="1"/>
  <c r="Q110" i="4"/>
  <c r="Q115" i="4" s="1"/>
  <c r="Q109" i="4"/>
  <c r="Q114" i="4" s="1"/>
  <c r="Q132" i="4"/>
  <c r="Q131" i="4"/>
  <c r="S9" i="4"/>
  <c r="S8" i="4"/>
  <c r="S11" i="4"/>
  <c r="S12" i="4"/>
  <c r="Q94" i="4"/>
  <c r="Q95" i="4"/>
  <c r="R5" i="9"/>
  <c r="R23" i="9" s="1"/>
  <c r="T6" i="4" s="1"/>
  <c r="P100" i="4"/>
  <c r="P99" i="4"/>
  <c r="P79" i="4"/>
  <c r="P82" i="4" s="1"/>
  <c r="P43" i="4"/>
  <c r="Q77" i="4"/>
  <c r="Q76" i="4"/>
  <c r="Q42" i="4"/>
  <c r="Q78" i="4"/>
  <c r="R130" i="4"/>
  <c r="R64" i="4"/>
  <c r="R112" i="4"/>
  <c r="R117" i="4" s="1"/>
  <c r="R103" i="4"/>
  <c r="Q111" i="4"/>
  <c r="Q116" i="4" s="1"/>
  <c r="Q104" i="4"/>
  <c r="Q105" i="4"/>
  <c r="S81" i="4"/>
  <c r="Q11" i="9"/>
  <c r="S73" i="4" s="1"/>
  <c r="S92" i="4" s="1"/>
  <c r="Q17" i="9"/>
  <c r="Q18" i="9" s="1"/>
  <c r="O84" i="4"/>
  <c r="O83" i="4"/>
  <c r="O119" i="4"/>
  <c r="O120" i="4"/>
  <c r="O134" i="4"/>
  <c r="Q28" i="9"/>
  <c r="W21" i="26"/>
  <c r="W8" i="26"/>
  <c r="V10" i="26"/>
  <c r="V23" i="26" s="1"/>
  <c r="V22" i="26"/>
  <c r="M38" i="4"/>
  <c r="M45" i="4"/>
  <c r="M49" i="4" s="1"/>
  <c r="P28" i="4"/>
  <c r="R24" i="4"/>
  <c r="Q50" i="9"/>
  <c r="AF22" i="21"/>
  <c r="AF23" i="21" s="1"/>
  <c r="W35" i="4"/>
  <c r="U25" i="5"/>
  <c r="U17" i="5"/>
  <c r="T34" i="9"/>
  <c r="U33" i="9"/>
  <c r="Q26" i="4"/>
  <c r="Q25" i="4"/>
  <c r="Q23" i="4"/>
  <c r="O29" i="4"/>
  <c r="O32" i="4" s="1"/>
  <c r="O30" i="4"/>
  <c r="O33" i="4" s="1"/>
  <c r="O27" i="4"/>
  <c r="N37" i="4"/>
  <c r="P51" i="9"/>
  <c r="R21" i="4"/>
  <c r="T40" i="9"/>
  <c r="V4" i="3"/>
  <c r="U6" i="3"/>
  <c r="AD18" i="21"/>
  <c r="AD25" i="21" s="1"/>
  <c r="AD26" i="21" s="1"/>
  <c r="Q22" i="4"/>
  <c r="S6" i="5"/>
  <c r="S7" i="5" s="1"/>
  <c r="P38" i="28" l="1"/>
  <c r="R98" i="4"/>
  <c r="T20" i="5"/>
  <c r="T39" i="28"/>
  <c r="T40" i="28" s="1"/>
  <c r="U24" i="5"/>
  <c r="U18" i="5"/>
  <c r="W18" i="5"/>
  <c r="W24" i="5"/>
  <c r="W21" i="5"/>
  <c r="U29" i="3"/>
  <c r="U30" i="3" s="1"/>
  <c r="U32" i="3" s="1"/>
  <c r="V18" i="3"/>
  <c r="U22" i="3"/>
  <c r="U23" i="3" s="1"/>
  <c r="U25" i="3" s="1"/>
  <c r="S80" i="4"/>
  <c r="R6" i="9"/>
  <c r="P84" i="4"/>
  <c r="P83" i="4"/>
  <c r="S4" i="9"/>
  <c r="P120" i="4"/>
  <c r="P134" i="4"/>
  <c r="P136" i="4" s="1"/>
  <c r="S31" i="28"/>
  <c r="O136" i="4"/>
  <c r="O138" i="4"/>
  <c r="Q13" i="9"/>
  <c r="Q21" i="9" s="1"/>
  <c r="S53" i="4"/>
  <c r="S70" i="4"/>
  <c r="S90" i="4" s="1"/>
  <c r="S68" i="4"/>
  <c r="S88" i="4" s="1"/>
  <c r="Q47" i="9"/>
  <c r="S54" i="4" s="1"/>
  <c r="S72" i="4"/>
  <c r="S91" i="4" s="1"/>
  <c r="S67" i="4"/>
  <c r="S87" i="4" s="1"/>
  <c r="S71" i="4"/>
  <c r="S69" i="4"/>
  <c r="S89" i="4" s="1"/>
  <c r="S55" i="4"/>
  <c r="Q48" i="9"/>
  <c r="S57" i="4"/>
  <c r="S58" i="4" s="1"/>
  <c r="S59" i="4" s="1"/>
  <c r="R77" i="4"/>
  <c r="R42" i="4"/>
  <c r="R76" i="4"/>
  <c r="R78" i="4"/>
  <c r="R94" i="4"/>
  <c r="R95" i="4"/>
  <c r="R104" i="4"/>
  <c r="R105" i="4"/>
  <c r="S5" i="9"/>
  <c r="S23" i="9" s="1"/>
  <c r="U6" i="4" s="1"/>
  <c r="S127" i="4"/>
  <c r="S126" i="4"/>
  <c r="R109" i="4"/>
  <c r="R114" i="4" s="1"/>
  <c r="R110" i="4"/>
  <c r="R115" i="4" s="1"/>
  <c r="R131" i="4"/>
  <c r="R132" i="4"/>
  <c r="Q43" i="4"/>
  <c r="Q79" i="4"/>
  <c r="Q82" i="4" s="1"/>
  <c r="Q99" i="4"/>
  <c r="Q100" i="4"/>
  <c r="R26" i="9"/>
  <c r="R15" i="9"/>
  <c r="W25" i="9"/>
  <c r="R16" i="9"/>
  <c r="R24" i="9"/>
  <c r="T10" i="4" s="1"/>
  <c r="R10" i="9"/>
  <c r="T125" i="4" s="1"/>
  <c r="R111" i="4"/>
  <c r="R116" i="4" s="1"/>
  <c r="Q118" i="4"/>
  <c r="W10" i="26"/>
  <c r="W23" i="26" s="1"/>
  <c r="W22" i="26"/>
  <c r="M47" i="4"/>
  <c r="M140" i="4"/>
  <c r="O37" i="4"/>
  <c r="O39" i="4" s="1"/>
  <c r="S24" i="4"/>
  <c r="T6" i="5"/>
  <c r="T7" i="5" s="1"/>
  <c r="Q28" i="4"/>
  <c r="V6" i="3"/>
  <c r="AE18" i="21"/>
  <c r="AE25" i="21" s="1"/>
  <c r="AE26" i="21" s="1"/>
  <c r="R22" i="4"/>
  <c r="U34" i="9"/>
  <c r="V33" i="9"/>
  <c r="Q51" i="9"/>
  <c r="S21" i="4"/>
  <c r="P29" i="4"/>
  <c r="P32" i="4" s="1"/>
  <c r="P30" i="4"/>
  <c r="P33" i="4" s="1"/>
  <c r="P27" i="4"/>
  <c r="U40" i="9"/>
  <c r="N39" i="4"/>
  <c r="N38" i="4"/>
  <c r="N45" i="4"/>
  <c r="V17" i="5"/>
  <c r="V25" i="5"/>
  <c r="X35" i="4"/>
  <c r="R50" i="9"/>
  <c r="AG22" i="21"/>
  <c r="AG23" i="21" s="1"/>
  <c r="R26" i="4"/>
  <c r="R25" i="4"/>
  <c r="R23" i="4"/>
  <c r="R28" i="9" l="1"/>
  <c r="V24" i="5"/>
  <c r="V18" i="5"/>
  <c r="S93" i="4"/>
  <c r="Q38" i="28"/>
  <c r="S98" i="4"/>
  <c r="U20" i="5"/>
  <c r="U39" i="28"/>
  <c r="U40" i="28" s="1"/>
  <c r="P138" i="4"/>
  <c r="V29" i="3"/>
  <c r="V30" i="3" s="1"/>
  <c r="V32" i="3" s="1"/>
  <c r="V22" i="3"/>
  <c r="V23" i="3" s="1"/>
  <c r="V25" i="3" s="1"/>
  <c r="S61" i="4"/>
  <c r="S62" i="4"/>
  <c r="S6" i="9"/>
  <c r="S10" i="9" s="1"/>
  <c r="U125" i="4" s="1"/>
  <c r="Q83" i="4"/>
  <c r="Q84" i="4"/>
  <c r="T4" i="9"/>
  <c r="S95" i="4"/>
  <c r="T31" i="28"/>
  <c r="O38" i="4"/>
  <c r="T9" i="4"/>
  <c r="T8" i="4"/>
  <c r="T11" i="4"/>
  <c r="T12" i="4"/>
  <c r="S16" i="9"/>
  <c r="S15" i="9"/>
  <c r="S24" i="9"/>
  <c r="U10" i="4" s="1"/>
  <c r="S26" i="9"/>
  <c r="R100" i="4"/>
  <c r="R99" i="4"/>
  <c r="R43" i="4"/>
  <c r="R79" i="4"/>
  <c r="R82" i="4" s="1"/>
  <c r="S103" i="4"/>
  <c r="S130" i="4"/>
  <c r="S64" i="4"/>
  <c r="S112" i="4"/>
  <c r="S117" i="4" s="1"/>
  <c r="S13" i="4"/>
  <c r="R118" i="4"/>
  <c r="Q120" i="4"/>
  <c r="Q134" i="4"/>
  <c r="Q119" i="4"/>
  <c r="T81" i="4"/>
  <c r="R11" i="9"/>
  <c r="T73" i="4" s="1"/>
  <c r="T92" i="4" s="1"/>
  <c r="R17" i="9"/>
  <c r="R18" i="9" s="1"/>
  <c r="T5" i="9"/>
  <c r="T23" i="9" s="1"/>
  <c r="V6" i="4" s="1"/>
  <c r="S94" i="4"/>
  <c r="R27" i="9"/>
  <c r="R29" i="9" s="1"/>
  <c r="S111" i="4"/>
  <c r="S116" i="4" s="1"/>
  <c r="B8" i="26"/>
  <c r="O45" i="4"/>
  <c r="O47" i="4" s="1"/>
  <c r="R28" i="4"/>
  <c r="T24" i="4"/>
  <c r="S50" i="9"/>
  <c r="AH22" i="21"/>
  <c r="AH23" i="21" s="1"/>
  <c r="Y35" i="4"/>
  <c r="N49" i="4"/>
  <c r="N47" i="4"/>
  <c r="N140" i="4"/>
  <c r="V40" i="9"/>
  <c r="O49" i="4"/>
  <c r="R51" i="9"/>
  <c r="T21" i="4"/>
  <c r="W25" i="5"/>
  <c r="AF18" i="21"/>
  <c r="AF25" i="21" s="1"/>
  <c r="AF26" i="21" s="1"/>
  <c r="S22" i="4"/>
  <c r="V34" i="9"/>
  <c r="W33" i="9"/>
  <c r="Q29" i="4"/>
  <c r="Q32" i="4" s="1"/>
  <c r="Q30" i="4"/>
  <c r="Q33" i="4" s="1"/>
  <c r="Q27" i="4"/>
  <c r="U6" i="5"/>
  <c r="U7" i="5" s="1"/>
  <c r="S26" i="4"/>
  <c r="S25" i="4"/>
  <c r="S23" i="4"/>
  <c r="P37" i="4"/>
  <c r="W39" i="28" l="1"/>
  <c r="V20" i="5"/>
  <c r="V39" i="28"/>
  <c r="V40" i="28" s="1"/>
  <c r="T80" i="4"/>
  <c r="T6" i="9"/>
  <c r="T24" i="9" s="1"/>
  <c r="V10" i="4" s="1"/>
  <c r="U4" i="9"/>
  <c r="R84" i="4"/>
  <c r="R83" i="4"/>
  <c r="T16" i="9"/>
  <c r="T15" i="9"/>
  <c r="T26" i="9"/>
  <c r="R13" i="9"/>
  <c r="T53" i="4"/>
  <c r="T68" i="4"/>
  <c r="T88" i="4" s="1"/>
  <c r="T70" i="4"/>
  <c r="T90" i="4" s="1"/>
  <c r="R47" i="9"/>
  <c r="T54" i="4" s="1"/>
  <c r="T67" i="4"/>
  <c r="T87" i="4" s="1"/>
  <c r="T72" i="4"/>
  <c r="T91" i="4" s="1"/>
  <c r="T71" i="4"/>
  <c r="T55" i="4"/>
  <c r="R48" i="9"/>
  <c r="T69" i="4"/>
  <c r="T89" i="4" s="1"/>
  <c r="T57" i="4"/>
  <c r="T58" i="4" s="1"/>
  <c r="T59" i="4" s="1"/>
  <c r="S11" i="9"/>
  <c r="U73" i="4" s="1"/>
  <c r="U92" i="4" s="1"/>
  <c r="S17" i="9"/>
  <c r="S18" i="9" s="1"/>
  <c r="U81" i="4"/>
  <c r="S28" i="9"/>
  <c r="S27" i="9"/>
  <c r="S29" i="9" s="1"/>
  <c r="S110" i="4"/>
  <c r="S115" i="4" s="1"/>
  <c r="S109" i="4"/>
  <c r="S114" i="4" s="1"/>
  <c r="U5" i="9"/>
  <c r="U23" i="9" s="1"/>
  <c r="W6" i="4" s="1"/>
  <c r="T126" i="4"/>
  <c r="T127" i="4"/>
  <c r="Q136" i="4"/>
  <c r="Q138" i="4"/>
  <c r="R120" i="4"/>
  <c r="R119" i="4"/>
  <c r="R134" i="4"/>
  <c r="S42" i="4"/>
  <c r="S76" i="4"/>
  <c r="S77" i="4"/>
  <c r="S78" i="4"/>
  <c r="S132" i="4"/>
  <c r="S131" i="4"/>
  <c r="S104" i="4"/>
  <c r="S105" i="4"/>
  <c r="U9" i="4"/>
  <c r="U8" i="4"/>
  <c r="U12" i="4"/>
  <c r="U11" i="4"/>
  <c r="O140" i="4"/>
  <c r="Q37" i="4"/>
  <c r="Q39" i="4" s="1"/>
  <c r="S28" i="4"/>
  <c r="U24" i="4"/>
  <c r="P39" i="4"/>
  <c r="P38" i="4"/>
  <c r="P45" i="4"/>
  <c r="V6" i="5"/>
  <c r="V7" i="5" s="1"/>
  <c r="W34" i="9"/>
  <c r="AG18" i="21"/>
  <c r="AG25" i="21" s="1"/>
  <c r="AG26" i="21" s="1"/>
  <c r="T22" i="4"/>
  <c r="S51" i="9"/>
  <c r="U21" i="4"/>
  <c r="R29" i="4"/>
  <c r="R32" i="4" s="1"/>
  <c r="R30" i="4"/>
  <c r="R33" i="4" s="1"/>
  <c r="R27" i="4"/>
  <c r="W40" i="9"/>
  <c r="T50" i="9"/>
  <c r="AI22" i="21"/>
  <c r="AI23" i="21" s="1"/>
  <c r="T26" i="4"/>
  <c r="T25" i="4"/>
  <c r="T23" i="4"/>
  <c r="T10" i="9" l="1"/>
  <c r="V125" i="4" s="1"/>
  <c r="T93" i="4"/>
  <c r="W40" i="28"/>
  <c r="C39" i="28"/>
  <c r="U6" i="9"/>
  <c r="T62" i="4"/>
  <c r="T130" i="4" s="1"/>
  <c r="U80" i="4"/>
  <c r="T61" i="4"/>
  <c r="V4" i="9"/>
  <c r="T28" i="9"/>
  <c r="T27" i="9"/>
  <c r="S118" i="4"/>
  <c r="S120" i="4" s="1"/>
  <c r="T13" i="4"/>
  <c r="R21" i="9"/>
  <c r="U31" i="28"/>
  <c r="Q45" i="4"/>
  <c r="Q47" i="4" s="1"/>
  <c r="Q38" i="4"/>
  <c r="S99" i="4"/>
  <c r="S100" i="4"/>
  <c r="S79" i="4"/>
  <c r="S82" i="4" s="1"/>
  <c r="S43" i="4"/>
  <c r="U10" i="9"/>
  <c r="W125" i="4" s="1"/>
  <c r="U16" i="9"/>
  <c r="U15" i="9"/>
  <c r="U27" i="9" s="1"/>
  <c r="U24" i="9"/>
  <c r="W10" i="4" s="1"/>
  <c r="U26" i="9"/>
  <c r="U29" i="9" s="1"/>
  <c r="U127" i="4"/>
  <c r="U126" i="4"/>
  <c r="V9" i="4"/>
  <c r="V8" i="4"/>
  <c r="V81" i="4"/>
  <c r="T11" i="9"/>
  <c r="V73" i="4" s="1"/>
  <c r="V92" i="4" s="1"/>
  <c r="T17" i="9"/>
  <c r="T18" i="9" s="1"/>
  <c r="T29" i="9"/>
  <c r="R136" i="4"/>
  <c r="R138" i="4"/>
  <c r="V5" i="9"/>
  <c r="V23" i="9" s="1"/>
  <c r="X6" i="4" s="1"/>
  <c r="S119" i="4"/>
  <c r="S13" i="9"/>
  <c r="U53" i="4"/>
  <c r="U70" i="4"/>
  <c r="U90" i="4" s="1"/>
  <c r="U68" i="4"/>
  <c r="U88" i="4" s="1"/>
  <c r="U71" i="4"/>
  <c r="U55" i="4"/>
  <c r="S47" i="9"/>
  <c r="U54" i="4" s="1"/>
  <c r="U72" i="4"/>
  <c r="U91" i="4" s="1"/>
  <c r="U67" i="4"/>
  <c r="U87" i="4" s="1"/>
  <c r="U69" i="4"/>
  <c r="U89" i="4" s="1"/>
  <c r="S48" i="9"/>
  <c r="U57" i="4"/>
  <c r="U58" i="4" s="1"/>
  <c r="U59" i="4" s="1"/>
  <c r="T112" i="4"/>
  <c r="T117" i="4" s="1"/>
  <c r="T103" i="4"/>
  <c r="V12" i="4"/>
  <c r="V11" i="4"/>
  <c r="T111" i="4"/>
  <c r="T116" i="4" s="1"/>
  <c r="V24" i="4"/>
  <c r="T28" i="4"/>
  <c r="T51" i="9"/>
  <c r="V21" i="4"/>
  <c r="P49" i="4"/>
  <c r="P47" i="4"/>
  <c r="P140" i="4"/>
  <c r="U50" i="9"/>
  <c r="AJ22" i="21"/>
  <c r="AJ23" i="21" s="1"/>
  <c r="AH18" i="21"/>
  <c r="AH25" i="21" s="1"/>
  <c r="AH26" i="21" s="1"/>
  <c r="U22" i="4"/>
  <c r="W6" i="5"/>
  <c r="W7" i="5" s="1"/>
  <c r="U26" i="4"/>
  <c r="U25" i="4"/>
  <c r="U23" i="4"/>
  <c r="S29" i="4"/>
  <c r="S32" i="4" s="1"/>
  <c r="S30" i="4"/>
  <c r="S33" i="4" s="1"/>
  <c r="S27" i="4"/>
  <c r="R37" i="4"/>
  <c r="U28" i="9" l="1"/>
  <c r="R38" i="28"/>
  <c r="T98" i="4"/>
  <c r="C40" i="28"/>
  <c r="U93" i="4"/>
  <c r="V6" i="9"/>
  <c r="Q49" i="4"/>
  <c r="T64" i="4"/>
  <c r="U61" i="4"/>
  <c r="W4" i="9"/>
  <c r="V80" i="4"/>
  <c r="U62" i="4"/>
  <c r="S134" i="4"/>
  <c r="S136" i="4" s="1"/>
  <c r="Q140" i="4"/>
  <c r="U13" i="4"/>
  <c r="S21" i="9"/>
  <c r="S138" i="4"/>
  <c r="T110" i="4"/>
  <c r="T115" i="4" s="1"/>
  <c r="T109" i="4"/>
  <c r="T114" i="4" s="1"/>
  <c r="T105" i="4"/>
  <c r="T104" i="4"/>
  <c r="V10" i="9"/>
  <c r="X125" i="4" s="1"/>
  <c r="V16" i="9"/>
  <c r="V15" i="9"/>
  <c r="V24" i="9"/>
  <c r="X10" i="4" s="1"/>
  <c r="V26" i="9"/>
  <c r="V126" i="4"/>
  <c r="V127" i="4"/>
  <c r="W9" i="4"/>
  <c r="W8" i="4"/>
  <c r="W12" i="4"/>
  <c r="W11" i="4"/>
  <c r="S83" i="4"/>
  <c r="S84" i="4"/>
  <c r="T131" i="4"/>
  <c r="T132" i="4"/>
  <c r="U103" i="4"/>
  <c r="U130" i="4"/>
  <c r="U64" i="4"/>
  <c r="U112" i="4"/>
  <c r="U117" i="4" s="1"/>
  <c r="W5" i="9"/>
  <c r="W23" i="9" s="1"/>
  <c r="Y6" i="4" s="1"/>
  <c r="T76" i="4"/>
  <c r="T77" i="4"/>
  <c r="T42" i="4"/>
  <c r="T78" i="4"/>
  <c r="T95" i="4"/>
  <c r="T94" i="4"/>
  <c r="T13" i="9"/>
  <c r="T21" i="9" s="1"/>
  <c r="T47" i="9"/>
  <c r="V54" i="4" s="1"/>
  <c r="V67" i="4"/>
  <c r="V87" i="4" s="1"/>
  <c r="V69" i="4"/>
  <c r="V89" i="4" s="1"/>
  <c r="V70" i="4"/>
  <c r="V90" i="4" s="1"/>
  <c r="V55" i="4"/>
  <c r="T48" i="9"/>
  <c r="V53" i="4"/>
  <c r="V68" i="4"/>
  <c r="V88" i="4" s="1"/>
  <c r="V72" i="4"/>
  <c r="V91" i="4" s="1"/>
  <c r="V71" i="4"/>
  <c r="V57" i="4"/>
  <c r="V58" i="4" s="1"/>
  <c r="V59" i="4" s="1"/>
  <c r="U11" i="9"/>
  <c r="W73" i="4" s="1"/>
  <c r="W92" i="4" s="1"/>
  <c r="U17" i="9"/>
  <c r="U18" i="9" s="1"/>
  <c r="W81" i="4"/>
  <c r="S37" i="4"/>
  <c r="S39" i="4" s="1"/>
  <c r="U28" i="4"/>
  <c r="W24" i="4"/>
  <c r="R39" i="4"/>
  <c r="R38" i="4"/>
  <c r="R45" i="4"/>
  <c r="W21" i="4"/>
  <c r="V26" i="4"/>
  <c r="V25" i="4"/>
  <c r="V23" i="4"/>
  <c r="S38" i="4"/>
  <c r="V50" i="9"/>
  <c r="AK22" i="21"/>
  <c r="AK23" i="21" s="1"/>
  <c r="AI18" i="21"/>
  <c r="AI25" i="21" s="1"/>
  <c r="AI26" i="21" s="1"/>
  <c r="V22" i="4"/>
  <c r="T29" i="4"/>
  <c r="T32" i="4" s="1"/>
  <c r="T30" i="4"/>
  <c r="T33" i="4" s="1"/>
  <c r="T27" i="4"/>
  <c r="V93" i="4" l="1"/>
  <c r="T38" i="28"/>
  <c r="V98" i="4"/>
  <c r="S38" i="28"/>
  <c r="U98" i="4"/>
  <c r="W80" i="4"/>
  <c r="V61" i="4"/>
  <c r="V62" i="4"/>
  <c r="U51" i="9"/>
  <c r="T118" i="4"/>
  <c r="V31" i="28"/>
  <c r="U110" i="4"/>
  <c r="U115" i="4" s="1"/>
  <c r="U109" i="4"/>
  <c r="U114" i="4" s="1"/>
  <c r="W127" i="4"/>
  <c r="W126" i="4"/>
  <c r="U13" i="9"/>
  <c r="W53" i="4"/>
  <c r="W70" i="4"/>
  <c r="W90" i="4" s="1"/>
  <c r="W68" i="4"/>
  <c r="W88" i="4" s="1"/>
  <c r="W55" i="4"/>
  <c r="U47" i="9"/>
  <c r="W54" i="4" s="1"/>
  <c r="W72" i="4"/>
  <c r="W91" i="4" s="1"/>
  <c r="W67" i="4"/>
  <c r="W87" i="4" s="1"/>
  <c r="W71" i="4"/>
  <c r="W69" i="4"/>
  <c r="W89" i="4" s="1"/>
  <c r="U48" i="9"/>
  <c r="W57" i="4"/>
  <c r="W58" i="4" s="1"/>
  <c r="W59" i="4" s="1"/>
  <c r="V130" i="4"/>
  <c r="V64" i="4"/>
  <c r="V112" i="4"/>
  <c r="V117" i="4" s="1"/>
  <c r="V103" i="4"/>
  <c r="V111" i="4"/>
  <c r="V116" i="4" s="1"/>
  <c r="V13" i="4"/>
  <c r="T99" i="4"/>
  <c r="T100" i="4"/>
  <c r="U131" i="4"/>
  <c r="U132" i="4"/>
  <c r="U105" i="4"/>
  <c r="U104" i="4"/>
  <c r="V11" i="9"/>
  <c r="X73" i="4" s="1"/>
  <c r="X92" i="4" s="1"/>
  <c r="V17" i="9"/>
  <c r="V18" i="9" s="1"/>
  <c r="X81" i="4"/>
  <c r="W6" i="9"/>
  <c r="V28" i="9"/>
  <c r="V27" i="9"/>
  <c r="V29" i="9" s="1"/>
  <c r="U94" i="4"/>
  <c r="U95" i="4"/>
  <c r="V110" i="4"/>
  <c r="V115" i="4" s="1"/>
  <c r="V109" i="4"/>
  <c r="V114" i="4" s="1"/>
  <c r="T79" i="4"/>
  <c r="T82" i="4" s="1"/>
  <c r="T43" i="4"/>
  <c r="U76" i="4"/>
  <c r="U42" i="4"/>
  <c r="U77" i="4"/>
  <c r="U78" i="4"/>
  <c r="X8" i="4"/>
  <c r="X9" i="4"/>
  <c r="X11" i="4"/>
  <c r="X12" i="4"/>
  <c r="T119" i="4"/>
  <c r="T120" i="4"/>
  <c r="U111" i="4"/>
  <c r="U116" i="4" s="1"/>
  <c r="S45" i="4"/>
  <c r="S47" i="4" s="1"/>
  <c r="V28" i="4"/>
  <c r="X24" i="4"/>
  <c r="X21" i="4"/>
  <c r="AJ18" i="21"/>
  <c r="AJ25" i="21" s="1"/>
  <c r="AJ26" i="21" s="1"/>
  <c r="W22" i="4"/>
  <c r="R49" i="4"/>
  <c r="R47" i="4"/>
  <c r="R140" i="4"/>
  <c r="W50" i="9"/>
  <c r="AL22" i="21"/>
  <c r="AL23" i="21" s="1"/>
  <c r="W26" i="4"/>
  <c r="W25" i="4"/>
  <c r="W23" i="4"/>
  <c r="U29" i="4"/>
  <c r="U32" i="4" s="1"/>
  <c r="U30" i="4"/>
  <c r="U33" i="4" s="1"/>
  <c r="U27" i="4"/>
  <c r="T37" i="4"/>
  <c r="V51" i="9" l="1"/>
  <c r="W93" i="4"/>
  <c r="X80" i="4"/>
  <c r="W62" i="4"/>
  <c r="W103" i="4" s="1"/>
  <c r="W61" i="4"/>
  <c r="T83" i="4"/>
  <c r="T134" i="4"/>
  <c r="T136" i="4" s="1"/>
  <c r="T84" i="4"/>
  <c r="W13" i="4"/>
  <c r="U21" i="9"/>
  <c r="S49" i="4"/>
  <c r="V94" i="4"/>
  <c r="V95" i="4"/>
  <c r="U43" i="4"/>
  <c r="U79" i="4"/>
  <c r="U82" i="4" s="1"/>
  <c r="Y8" i="4"/>
  <c r="E8" i="4" s="1"/>
  <c r="C5" i="24" s="1"/>
  <c r="Y9" i="4"/>
  <c r="E9" i="4" s="1"/>
  <c r="B5" i="24" s="1"/>
  <c r="W10" i="9"/>
  <c r="Y125" i="4" s="1"/>
  <c r="W16" i="9"/>
  <c r="W15" i="9"/>
  <c r="W24" i="9"/>
  <c r="Y10" i="4" s="1"/>
  <c r="W26" i="9"/>
  <c r="X126" i="4"/>
  <c r="X127" i="4"/>
  <c r="V77" i="4"/>
  <c r="V76" i="4"/>
  <c r="V42" i="4"/>
  <c r="V78" i="4"/>
  <c r="V132" i="4"/>
  <c r="V131" i="4"/>
  <c r="W130" i="4"/>
  <c r="W112" i="4"/>
  <c r="U118" i="4"/>
  <c r="U100" i="4"/>
  <c r="U99" i="4"/>
  <c r="V13" i="9"/>
  <c r="X69" i="4"/>
  <c r="X89" i="4" s="1"/>
  <c r="X53" i="4"/>
  <c r="X68" i="4"/>
  <c r="X88" i="4" s="1"/>
  <c r="X70" i="4"/>
  <c r="X90" i="4" s="1"/>
  <c r="V47" i="9"/>
  <c r="X54" i="4" s="1"/>
  <c r="X67" i="4"/>
  <c r="X87" i="4" s="1"/>
  <c r="X72" i="4"/>
  <c r="X91" i="4" s="1"/>
  <c r="X71" i="4"/>
  <c r="X55" i="4"/>
  <c r="V48" i="9"/>
  <c r="X57" i="4"/>
  <c r="X58" i="4" s="1"/>
  <c r="X59" i="4" s="1"/>
  <c r="V105" i="4"/>
  <c r="V104" i="4"/>
  <c r="V118" i="4"/>
  <c r="S140" i="4"/>
  <c r="Y24" i="4"/>
  <c r="W28" i="4"/>
  <c r="T39" i="4"/>
  <c r="T38" i="4"/>
  <c r="T45" i="4"/>
  <c r="AK18" i="21"/>
  <c r="AK25" i="21" s="1"/>
  <c r="AK26" i="21" s="1"/>
  <c r="X22" i="4"/>
  <c r="V29" i="4"/>
  <c r="V32" i="4" s="1"/>
  <c r="V30" i="4"/>
  <c r="V33" i="4" s="1"/>
  <c r="V27" i="4"/>
  <c r="U37" i="4"/>
  <c r="Y21" i="4"/>
  <c r="X26" i="4"/>
  <c r="X25" i="4"/>
  <c r="X23" i="4"/>
  <c r="X93" i="4" l="1"/>
  <c r="W27" i="9"/>
  <c r="W29" i="9" s="1"/>
  <c r="U38" i="28"/>
  <c r="W98" i="4"/>
  <c r="W64" i="4"/>
  <c r="T138" i="4"/>
  <c r="X61" i="4"/>
  <c r="X62" i="4"/>
  <c r="U83" i="4"/>
  <c r="U84" i="4"/>
  <c r="X13" i="4"/>
  <c r="V21" i="9"/>
  <c r="W31" i="28"/>
  <c r="C31" i="28" s="1"/>
  <c r="W94" i="4"/>
  <c r="W95" i="4"/>
  <c r="V119" i="4"/>
  <c r="V120" i="4"/>
  <c r="U120" i="4"/>
  <c r="U134" i="4"/>
  <c r="U119" i="4"/>
  <c r="W110" i="4"/>
  <c r="W109" i="4"/>
  <c r="V79" i="4"/>
  <c r="V43" i="4"/>
  <c r="W28" i="9"/>
  <c r="X111" i="4"/>
  <c r="X116" i="4" s="1"/>
  <c r="W111" i="4"/>
  <c r="X103" i="4"/>
  <c r="X130" i="4"/>
  <c r="X64" i="4"/>
  <c r="X112" i="4"/>
  <c r="X117" i="4" s="1"/>
  <c r="W77" i="4"/>
  <c r="W76" i="4"/>
  <c r="W42" i="4"/>
  <c r="W78" i="4"/>
  <c r="W117" i="4"/>
  <c r="W132" i="4"/>
  <c r="W131" i="4"/>
  <c r="W105" i="4"/>
  <c r="W104" i="4"/>
  <c r="V99" i="4"/>
  <c r="V100" i="4"/>
  <c r="W11" i="9"/>
  <c r="Y73" i="4" s="1"/>
  <c r="Y92" i="4" s="1"/>
  <c r="W17" i="9"/>
  <c r="W18" i="9" s="1"/>
  <c r="Y81" i="4"/>
  <c r="X28" i="4"/>
  <c r="T49" i="4"/>
  <c r="T47" i="4"/>
  <c r="T140" i="4"/>
  <c r="V37" i="4"/>
  <c r="U38" i="4"/>
  <c r="U39" i="4"/>
  <c r="U45" i="4"/>
  <c r="W29" i="4"/>
  <c r="W32" i="4" s="1"/>
  <c r="W30" i="4"/>
  <c r="W33" i="4" s="1"/>
  <c r="W27" i="4"/>
  <c r="Y26" i="4"/>
  <c r="Y25" i="4"/>
  <c r="Y23" i="4"/>
  <c r="V38" i="28" l="1"/>
  <c r="X98" i="4"/>
  <c r="V82" i="4"/>
  <c r="V134" i="4" s="1"/>
  <c r="Y80" i="4"/>
  <c r="E73" i="4"/>
  <c r="E125" i="4"/>
  <c r="Y126" i="4"/>
  <c r="E126" i="4" s="1"/>
  <c r="C15" i="24" s="1"/>
  <c r="Y127" i="4"/>
  <c r="E127" i="4" s="1"/>
  <c r="B15" i="24" s="1"/>
  <c r="W13" i="9"/>
  <c r="W47" i="9"/>
  <c r="Y54" i="4" s="1"/>
  <c r="Y72" i="4"/>
  <c r="Y91" i="4" s="1"/>
  <c r="Y67" i="4"/>
  <c r="Y87" i="4" s="1"/>
  <c r="Y71" i="4"/>
  <c r="E71" i="4" s="1"/>
  <c r="W48" i="9"/>
  <c r="Y53" i="4"/>
  <c r="Y70" i="4"/>
  <c r="Y90" i="4" s="1"/>
  <c r="Y68" i="4"/>
  <c r="Y88" i="4" s="1"/>
  <c r="Y69" i="4"/>
  <c r="Y89" i="4" s="1"/>
  <c r="Y55" i="4"/>
  <c r="Y57" i="4"/>
  <c r="B11" i="9"/>
  <c r="W51" i="9"/>
  <c r="W79" i="4"/>
  <c r="W82" i="4" s="1"/>
  <c r="W43" i="4"/>
  <c r="X132" i="4"/>
  <c r="X131" i="4"/>
  <c r="X104" i="4"/>
  <c r="X105" i="4"/>
  <c r="W116" i="4"/>
  <c r="X109" i="4"/>
  <c r="X114" i="4" s="1"/>
  <c r="X110" i="4"/>
  <c r="X115" i="4" s="1"/>
  <c r="Y12" i="4"/>
  <c r="E12" i="4" s="1"/>
  <c r="B6" i="24" s="1"/>
  <c r="Y11" i="4"/>
  <c r="E11" i="4" s="1"/>
  <c r="C6" i="24" s="1"/>
  <c r="W115" i="4"/>
  <c r="U138" i="4"/>
  <c r="U136" i="4"/>
  <c r="X94" i="4"/>
  <c r="X95" i="4"/>
  <c r="W99" i="4"/>
  <c r="W100" i="4"/>
  <c r="X42" i="4"/>
  <c r="X77" i="4"/>
  <c r="X76" i="4"/>
  <c r="X78" i="4"/>
  <c r="V84" i="4"/>
  <c r="V83" i="4"/>
  <c r="W114" i="4"/>
  <c r="W37" i="4"/>
  <c r="W38" i="4" s="1"/>
  <c r="U49" i="4"/>
  <c r="U47" i="4"/>
  <c r="U140" i="4"/>
  <c r="V39" i="4"/>
  <c r="V38" i="4"/>
  <c r="V45" i="4"/>
  <c r="X29" i="4"/>
  <c r="X32" i="4" s="1"/>
  <c r="X30" i="4"/>
  <c r="X33" i="4" s="1"/>
  <c r="X27" i="4"/>
  <c r="V136" i="4" l="1"/>
  <c r="V138" i="4"/>
  <c r="Y58" i="4"/>
  <c r="E57" i="4"/>
  <c r="Y93" i="4"/>
  <c r="Y61" i="4"/>
  <c r="W118" i="4"/>
  <c r="W120" i="4" s="1"/>
  <c r="Y13" i="4"/>
  <c r="W21" i="9"/>
  <c r="B13" i="9"/>
  <c r="X79" i="4"/>
  <c r="X82" i="4" s="1"/>
  <c r="X43" i="4"/>
  <c r="W83" i="4"/>
  <c r="W84" i="4"/>
  <c r="E69" i="4"/>
  <c r="E70" i="4"/>
  <c r="E67" i="4"/>
  <c r="X118" i="4"/>
  <c r="W134" i="4"/>
  <c r="X99" i="4"/>
  <c r="X100" i="4"/>
  <c r="AL18" i="21"/>
  <c r="AL25" i="21" s="1"/>
  <c r="AL26" i="21" s="1"/>
  <c r="Y28" i="4" s="1"/>
  <c r="Y29" i="4" s="1"/>
  <c r="Y32" i="4" s="1"/>
  <c r="Y22" i="4"/>
  <c r="E68" i="4"/>
  <c r="E61" i="4"/>
  <c r="E72" i="4"/>
  <c r="W39" i="4"/>
  <c r="W45" i="4"/>
  <c r="W49" i="4" s="1"/>
  <c r="V49" i="4"/>
  <c r="V47" i="4"/>
  <c r="V140" i="4"/>
  <c r="X37" i="4"/>
  <c r="W38" i="28" l="1"/>
  <c r="Y98" i="4"/>
  <c r="Y59" i="4"/>
  <c r="E58" i="4"/>
  <c r="C38" i="28"/>
  <c r="X84" i="4"/>
  <c r="X83" i="4"/>
  <c r="E93" i="4"/>
  <c r="W119" i="4"/>
  <c r="Y30" i="4"/>
  <c r="Y33" i="4" s="1"/>
  <c r="Y27" i="4"/>
  <c r="X119" i="4"/>
  <c r="X120" i="4"/>
  <c r="X134" i="4"/>
  <c r="W138" i="4"/>
  <c r="W136" i="4"/>
  <c r="Y76" i="4"/>
  <c r="Y42" i="4"/>
  <c r="Y77" i="4"/>
  <c r="Y78" i="4"/>
  <c r="W47" i="4"/>
  <c r="W140" i="4"/>
  <c r="Y37" i="4"/>
  <c r="Y38" i="4" s="1"/>
  <c r="X39" i="4"/>
  <c r="X38" i="4"/>
  <c r="X45" i="4"/>
  <c r="E59" i="4" l="1"/>
  <c r="Y62" i="4"/>
  <c r="Y94" i="4"/>
  <c r="E94" i="4" s="1"/>
  <c r="C11" i="24" s="1"/>
  <c r="Y95" i="4"/>
  <c r="E95" i="4" s="1"/>
  <c r="B11" i="24" s="1"/>
  <c r="E98" i="4"/>
  <c r="Y99" i="4"/>
  <c r="E99" i="4" s="1"/>
  <c r="C12" i="24" s="1"/>
  <c r="Y100" i="4"/>
  <c r="E100" i="4" s="1"/>
  <c r="B12" i="24" s="1"/>
  <c r="X138" i="4"/>
  <c r="X136" i="4"/>
  <c r="Y43" i="4"/>
  <c r="Y79" i="4"/>
  <c r="Y39" i="4"/>
  <c r="E39" i="4" s="1"/>
  <c r="B7" i="24" s="1"/>
  <c r="B4" i="24" s="1"/>
  <c r="Y45" i="4"/>
  <c r="Y49" i="4" s="1"/>
  <c r="E38" i="4"/>
  <c r="C7" i="24" s="1"/>
  <c r="C4" i="24" s="1"/>
  <c r="X49" i="4"/>
  <c r="X47" i="4"/>
  <c r="X140" i="4"/>
  <c r="E62" i="4" l="1"/>
  <c r="Y130" i="4"/>
  <c r="Y64" i="4"/>
  <c r="E64" i="4" s="1"/>
  <c r="Y109" i="4"/>
  <c r="Y103" i="4"/>
  <c r="Y112" i="4"/>
  <c r="Y110" i="4"/>
  <c r="Y111" i="4"/>
  <c r="Y82" i="4"/>
  <c r="E82" i="4" s="1"/>
  <c r="Y84" i="4"/>
  <c r="E84" i="4" s="1"/>
  <c r="B10" i="24" s="1"/>
  <c r="Y83" i="4"/>
  <c r="Y47" i="4"/>
  <c r="E49" i="4"/>
  <c r="E45" i="4"/>
  <c r="Y115" i="4" l="1"/>
  <c r="E115" i="4" s="1"/>
  <c r="E110" i="4"/>
  <c r="E103" i="4"/>
  <c r="Y105" i="4"/>
  <c r="E105" i="4" s="1"/>
  <c r="B13" i="24" s="1"/>
  <c r="Y104" i="4"/>
  <c r="E104" i="4" s="1"/>
  <c r="C13" i="24" s="1"/>
  <c r="E111" i="4"/>
  <c r="Y116" i="4"/>
  <c r="E116" i="4" s="1"/>
  <c r="Y117" i="4"/>
  <c r="E117" i="4" s="1"/>
  <c r="E112" i="4"/>
  <c r="E109" i="4"/>
  <c r="Y114" i="4"/>
  <c r="E130" i="4"/>
  <c r="Y131" i="4"/>
  <c r="E131" i="4" s="1"/>
  <c r="C16" i="24" s="1"/>
  <c r="Y132" i="4"/>
  <c r="E132" i="4" s="1"/>
  <c r="B16" i="24" s="1"/>
  <c r="E83" i="4"/>
  <c r="C10" i="24" s="1"/>
  <c r="E47" i="4"/>
  <c r="E114" i="4" l="1"/>
  <c r="Y118" i="4"/>
  <c r="Y120" i="4" l="1"/>
  <c r="E120" i="4" s="1"/>
  <c r="B14" i="24" s="1"/>
  <c r="B9" i="24" s="1"/>
  <c r="Y119" i="4"/>
  <c r="E119" i="4" s="1"/>
  <c r="C14" i="24" s="1"/>
  <c r="C9" i="24" s="1"/>
  <c r="Y134" i="4"/>
  <c r="E118" i="4"/>
  <c r="Y140" i="4" l="1"/>
  <c r="E146" i="4" s="1"/>
  <c r="B19" i="24" s="1"/>
  <c r="Y136" i="4"/>
  <c r="E136" i="4" s="1"/>
  <c r="E134" i="4"/>
  <c r="E142" i="4" s="1"/>
  <c r="Y138" i="4"/>
  <c r="E138" i="4" s="1"/>
  <c r="E144" i="4" l="1"/>
  <c r="B18" i="24" s="1"/>
  <c r="E149" i="4"/>
  <c r="B20" i="24" s="1"/>
  <c r="E143" i="4"/>
  <c r="C18" i="24" s="1"/>
  <c r="E148" i="4"/>
  <c r="C20" i="24" s="1"/>
</calcChain>
</file>

<file path=xl/sharedStrings.xml><?xml version="1.0" encoding="utf-8"?>
<sst xmlns="http://schemas.openxmlformats.org/spreadsheetml/2006/main" count="704" uniqueCount="428">
  <si>
    <t>Assumptions</t>
  </si>
  <si>
    <t>Benefits</t>
  </si>
  <si>
    <t>Costs</t>
  </si>
  <si>
    <t>Reduced emissions (GHG and criteria)</t>
  </si>
  <si>
    <t>capital (bikes and stations)</t>
  </si>
  <si>
    <t>increase transit use</t>
  </si>
  <si>
    <t>fuel savings</t>
  </si>
  <si>
    <t>Mode shift assumed based Lyon, Barcelona, and Montreal programs of similar size</t>
  </si>
  <si>
    <t>public health improvement</t>
  </si>
  <si>
    <t xml:space="preserve">      365 days</t>
  </si>
  <si>
    <t>reduced household cost</t>
  </si>
  <si>
    <t>increase traffic safety for cyclists b/c of critical mass</t>
  </si>
  <si>
    <t>increased access</t>
  </si>
  <si>
    <t>Metrorail core relief</t>
  </si>
  <si>
    <t>congestion relief</t>
  </si>
  <si>
    <t xml:space="preserve">Capital </t>
  </si>
  <si>
    <t xml:space="preserve">Percent of those bicycling or walking who do not meet activity recommendations </t>
  </si>
  <si>
    <t xml:space="preserve">Health care savings of one minute increase of daily population average physical activity ($/minute) </t>
  </si>
  <si>
    <t xml:space="preserve"> Motor Gasoline Price (1987 $ per million Btu)</t>
  </si>
  <si>
    <t>% increase</t>
  </si>
  <si>
    <t>$ increase</t>
  </si>
  <si>
    <t>Forecast Price</t>
  </si>
  <si>
    <t xml:space="preserve">Year 1 </t>
  </si>
  <si>
    <t xml:space="preserve">Year 2 </t>
  </si>
  <si>
    <t>Year 3</t>
  </si>
  <si>
    <t>Year 4</t>
  </si>
  <si>
    <t>Year 5</t>
  </si>
  <si>
    <t>Year 6</t>
  </si>
  <si>
    <t>Year 7</t>
  </si>
  <si>
    <t>Year 8</t>
  </si>
  <si>
    <t>Year 9</t>
  </si>
  <si>
    <t>Year 10</t>
  </si>
  <si>
    <t>Year 11</t>
  </si>
  <si>
    <t>Year 12</t>
  </si>
  <si>
    <t>Year 13</t>
  </si>
  <si>
    <t>Year 14</t>
  </si>
  <si>
    <t>Year 15</t>
  </si>
  <si>
    <t>Year 16</t>
  </si>
  <si>
    <t>Year 17</t>
  </si>
  <si>
    <t>Year 18</t>
  </si>
  <si>
    <t>Year 19</t>
  </si>
  <si>
    <t>FUEL PRICES</t>
  </si>
  <si>
    <t>FUEL ECONOMY</t>
  </si>
  <si>
    <t>ACCIDENT COSTS</t>
  </si>
  <si>
    <t>Accident costs, $/accident</t>
  </si>
  <si>
    <t>FAT</t>
  </si>
  <si>
    <t>INJ</t>
  </si>
  <si>
    <t>Emission rate</t>
  </si>
  <si>
    <t xml:space="preserve">VOC </t>
  </si>
  <si>
    <t>Category</t>
  </si>
  <si>
    <t>Median</t>
  </si>
  <si>
    <t>Lower</t>
  </si>
  <si>
    <t>Upper</t>
  </si>
  <si>
    <t>In Year</t>
  </si>
  <si>
    <t>Source</t>
  </si>
  <si>
    <t>Value of Time (per bus rider)</t>
  </si>
  <si>
    <t>VOCCost</t>
  </si>
  <si>
    <t>NOXCost</t>
  </si>
  <si>
    <t>PM25Cost</t>
  </si>
  <si>
    <t>CO2Cost</t>
  </si>
  <si>
    <t>Value of Time for Low Income People</t>
  </si>
  <si>
    <t>60% of Auto Time Value</t>
  </si>
  <si>
    <t>Avg. Parking Cost, $ per day</t>
  </si>
  <si>
    <t>NHTSA</t>
  </si>
  <si>
    <t># of bikes</t>
  </si>
  <si>
    <t>daily ridership</t>
  </si>
  <si>
    <t>Source:</t>
  </si>
  <si>
    <t>Analysis Of Potential Transportation Emissions Reductions Measures (TERMs) Under Consideration For The Conformity Of The 2009 CLRP &amp; FY 2010-2015 TIP; June 5, 2009</t>
  </si>
  <si>
    <t xml:space="preserve">Ozone NOx </t>
  </si>
  <si>
    <t xml:space="preserve">Cold Start </t>
  </si>
  <si>
    <t>Cold Start (g/trip)</t>
  </si>
  <si>
    <t xml:space="preserve">Running </t>
  </si>
  <si>
    <t>Running (g/m)</t>
  </si>
  <si>
    <t xml:space="preserve">Cold start </t>
  </si>
  <si>
    <t>Hotsoak (g/trip)</t>
  </si>
  <si>
    <t xml:space="preserve">PM2.5 </t>
  </si>
  <si>
    <t xml:space="preserve">PM2.5 NOx Precursor </t>
  </si>
  <si>
    <t>Running</t>
  </si>
  <si>
    <t>"Regional average emissions factors corresponding to average speed have been used for the emissions estimation. For the Washington DC region, 40 mph average speed is used for commute category TERM running emissions rate while 41 mph speed is considered for traffic stream TERMs."</t>
  </si>
  <si>
    <r>
      <t>CO</t>
    </r>
    <r>
      <rPr>
        <b/>
        <vertAlign val="subscript"/>
        <sz val="10"/>
        <color indexed="10"/>
        <rFont val="Arial"/>
        <family val="2"/>
      </rPr>
      <t>2</t>
    </r>
    <r>
      <rPr>
        <b/>
        <sz val="10"/>
        <color indexed="10"/>
        <rFont val="Arial"/>
        <family val="2"/>
      </rPr>
      <t xml:space="preserve"> </t>
    </r>
  </si>
  <si>
    <t>The Case for Increased Federal Investment in Bicycling and Walking--Rails to Trails 2008</t>
  </si>
  <si>
    <t>WMATA</t>
  </si>
  <si>
    <t>Auto Operating Cost, total, per mile</t>
  </si>
  <si>
    <t>Transit User Cost, per mile</t>
  </si>
  <si>
    <t xml:space="preserve">Bike Sharing Operating Cost, per mile </t>
  </si>
  <si>
    <t xml:space="preserve">Yearly membership cost </t>
  </si>
  <si>
    <t>Day pass cost</t>
  </si>
  <si>
    <t>DDOT, based on Smartbike assumptions</t>
  </si>
  <si>
    <t>Advertising revenue</t>
  </si>
  <si>
    <t>Value of trip not taken before, for bike</t>
  </si>
  <si>
    <t>Capital cost</t>
  </si>
  <si>
    <t>Operating cost</t>
  </si>
  <si>
    <t>Bike advertising revenue, per bike, per year</t>
  </si>
  <si>
    <t>User fee revenue</t>
  </si>
  <si>
    <t>Memberships (10 members per bike)</t>
  </si>
  <si>
    <t>Montreal Bixi</t>
  </si>
  <si>
    <t>Day pass riders (84 per bike per year)</t>
  </si>
  <si>
    <t>operations (includes maintenance and theft/vandalism rate of 8%)</t>
  </si>
  <si>
    <t xml:space="preserve">Bike-sharing </t>
  </si>
  <si>
    <t>Total Cost</t>
  </si>
  <si>
    <t>Total Revenue</t>
  </si>
  <si>
    <t>Bicycle miles traveled (BMT)/day</t>
  </si>
  <si>
    <t>COSTS</t>
  </si>
  <si>
    <t>Each bike is used by 7 people per day</t>
  </si>
  <si>
    <t>Romero, C. (2009). Ajuntament de Barcelona. Barcelona.</t>
  </si>
  <si>
    <t>Total yearly ridership</t>
  </si>
  <si>
    <t>Total cost, $/day</t>
  </si>
  <si>
    <t>Bike hours traveled, per trip</t>
  </si>
  <si>
    <t>Avg Travel speed (BMT/BHT) mph</t>
  </si>
  <si>
    <t>Bike Hour Traveled (BHT), per trip</t>
  </si>
  <si>
    <t># of trips, per day</t>
  </si>
  <si>
    <t>BMT, per day</t>
  </si>
  <si>
    <t>BENEFITS</t>
  </si>
  <si>
    <t>ENVIRONMENTAL BENEFITS</t>
  </si>
  <si>
    <t>Average bike trip length, miles</t>
  </si>
  <si>
    <t>2007/2008 TPB Household Travel Survey, average bike trip length in region</t>
  </si>
  <si>
    <t>Each person makes 2 daily trips (1 roundtrip)</t>
  </si>
  <si>
    <t>Total cost, $/mile</t>
  </si>
  <si>
    <t>BICYCLE USER OPERATING COSTS</t>
  </si>
  <si>
    <t>Total user cost per mile, avg member/day pass</t>
  </si>
  <si>
    <t>PUBLIC HEALTH BENEFITS</t>
  </si>
  <si>
    <t xml:space="preserve">TRAVEL COST SAVINGS </t>
  </si>
  <si>
    <t xml:space="preserve">% bicycle riders as new transit riders </t>
  </si>
  <si>
    <t>Bus/rail trips reduced per day</t>
  </si>
  <si>
    <t xml:space="preserve">Auto VMT/day reduced </t>
  </si>
  <si>
    <t xml:space="preserve">Auto VT/day reduced </t>
  </si>
  <si>
    <t>INCREASED ACCESS BENEFITS</t>
  </si>
  <si>
    <t>Transit ridership increase, trips/day</t>
  </si>
  <si>
    <t>Mode shift</t>
  </si>
  <si>
    <t>Trips shifted from auto</t>
  </si>
  <si>
    <t>Trips shifted from transit</t>
  </si>
  <si>
    <t>Total benefit, $/day</t>
  </si>
  <si>
    <t>Total time savings from mode shift, $/day</t>
  </si>
  <si>
    <t xml:space="preserve">Health care savings by meeting activity requirement (15min avg extra activity per person), $/day </t>
  </si>
  <si>
    <t>CONGESTION REDUCTION BENEFITS</t>
  </si>
  <si>
    <t>Total savings from reduced VMT, $/day</t>
  </si>
  <si>
    <t>VOC, Tons of pollutants per day</t>
  </si>
  <si>
    <t>NOX, Tons of pollutants per day</t>
  </si>
  <si>
    <t>PM, Tons of pollutants per day</t>
  </si>
  <si>
    <t>CO2, Tons of pollutants per day</t>
  </si>
  <si>
    <t xml:space="preserve">% of trips not made before </t>
  </si>
  <si>
    <t>% of riders shifted from walk to bike</t>
  </si>
  <si>
    <t>Average walk speed, mph</t>
  </si>
  <si>
    <t>Average biking speed, mph</t>
  </si>
  <si>
    <t>Walk hours traveled, per trip</t>
  </si>
  <si>
    <t>2007/2008 TPB Household Travel Survey</t>
  </si>
  <si>
    <t>Average auto speed, mph</t>
  </si>
  <si>
    <t>Vehicle hours traveled, per trip</t>
  </si>
  <si>
    <t>Average transit speed, mph</t>
  </si>
  <si>
    <t># of riders per bike per day</t>
  </si>
  <si>
    <t>Trips shifted from walk</t>
  </si>
  <si>
    <t>Time cost average, per trip</t>
  </si>
  <si>
    <t>User cost average, per trip</t>
  </si>
  <si>
    <t>VEHICLE OPERATING COST</t>
  </si>
  <si>
    <t>Average cost per mile</t>
  </si>
  <si>
    <t>ACCIDENT BENEFITS</t>
  </si>
  <si>
    <r>
      <t>TIME</t>
    </r>
    <r>
      <rPr>
        <sz val="10"/>
        <rFont val="Arial"/>
      </rPr>
      <t xml:space="preserve">  </t>
    </r>
  </si>
  <si>
    <t xml:space="preserve">WALK  </t>
  </si>
  <si>
    <t xml:space="preserve">TRANSIT  </t>
  </si>
  <si>
    <t>Average fuel economy for region, light-duty mpg</t>
  </si>
  <si>
    <t>Fuel savings, $/day</t>
  </si>
  <si>
    <t>Emission reductions, $/day</t>
  </si>
  <si>
    <t>Total emissions reductions, $/day</t>
  </si>
  <si>
    <t>based on ridership of Barcelona, Paris and Montreal systems</t>
  </si>
  <si>
    <t>Cost per ton</t>
  </si>
  <si>
    <r>
      <t>PM</t>
    </r>
    <r>
      <rPr>
        <vertAlign val="subscript"/>
        <sz val="9"/>
        <rFont val="Arial"/>
        <family val="2"/>
      </rPr>
      <t>2.5</t>
    </r>
  </si>
  <si>
    <r>
      <t>CO</t>
    </r>
    <r>
      <rPr>
        <vertAlign val="subscript"/>
        <sz val="9"/>
        <rFont val="Arial"/>
        <family val="2"/>
      </rPr>
      <t>2</t>
    </r>
  </si>
  <si>
    <r>
      <t>NO</t>
    </r>
    <r>
      <rPr>
        <vertAlign val="subscript"/>
        <sz val="9"/>
        <rFont val="Arial"/>
        <family val="2"/>
      </rPr>
      <t>X</t>
    </r>
  </si>
  <si>
    <t>Value of Time (bike/ped)</t>
  </si>
  <si>
    <t>Congestion cost from additional automobile, per VMT</t>
  </si>
  <si>
    <t>Accident cost from additional automobile, per VMT</t>
  </si>
  <si>
    <t xml:space="preserve">Fuel Price, per gallon gasoline </t>
  </si>
  <si>
    <t>Fuel Price, per gallon diesel</t>
  </si>
  <si>
    <t>Reduced accident costs per less auto, $/day</t>
  </si>
  <si>
    <t>Year 20</t>
  </si>
  <si>
    <t xml:space="preserve">
North America CBD Parking Rate Survey-2009; Colliers International</t>
  </si>
  <si>
    <t>Total VT/day reduced</t>
  </si>
  <si>
    <t>Parking cost savings, $/day</t>
  </si>
  <si>
    <t>Transit</t>
  </si>
  <si>
    <t>Walk</t>
  </si>
  <si>
    <t>Car/Motorcycle</t>
  </si>
  <si>
    <t>Personal Bike</t>
  </si>
  <si>
    <t>Taxi</t>
  </si>
  <si>
    <t>No Travel</t>
  </si>
  <si>
    <t>Paris</t>
  </si>
  <si>
    <t>Barcelona</t>
  </si>
  <si>
    <t>Lyon</t>
  </si>
  <si>
    <t>London</t>
  </si>
  <si>
    <t>Average</t>
  </si>
  <si>
    <t>Andrew Curran, Regionlink British Columbia</t>
  </si>
  <si>
    <t>http://www.portlandonline.com/transportation/index.cfm?c=50814#Bike%20sharing%20and%20transit</t>
  </si>
  <si>
    <t>HDR</t>
  </si>
  <si>
    <t>TOTAL COSTS, per year</t>
  </si>
  <si>
    <t>TOTAL BENEFITS, per year</t>
  </si>
  <si>
    <t>Value of time, $/hour</t>
  </si>
  <si>
    <t>Value of time, auto driver, $/hour</t>
  </si>
  <si>
    <t>Health care cost increase for people completing 30 minutes of daily exercise vs those that do ($/day)</t>
  </si>
  <si>
    <t>TRAVEL TIME COST/SAVINGS</t>
  </si>
  <si>
    <t>Percent of those bicycling who do not meet activity recommendations</t>
  </si>
  <si>
    <t>Time cost average, per 1.5 mile trip</t>
  </si>
  <si>
    <t xml:space="preserve">Average replaced auto trip length (same as average bike trip), miles </t>
  </si>
  <si>
    <t xml:space="preserve">Average transit trip length replaced, miles </t>
  </si>
  <si>
    <t>Percent of transit trips, bus</t>
  </si>
  <si>
    <t>Percent of transit trips, rail</t>
  </si>
  <si>
    <t>Average rail speed, mph</t>
  </si>
  <si>
    <t>Average bus speed, mph</t>
  </si>
  <si>
    <t>Rails to Trails report</t>
  </si>
  <si>
    <t>Transit trips, work</t>
  </si>
  <si>
    <t>Transit trips, non-work</t>
  </si>
  <si>
    <t>Total transit trips</t>
  </si>
  <si>
    <t>2007 CLRP, travel demand model output</t>
  </si>
  <si>
    <t>WMATA; Includes smartrip discount: http://www.wmata.com/about_metro/news/PressReleaseDetail.cfm?ReleaseID=2555</t>
  </si>
  <si>
    <t>Avg Metrorail fare, 1.5 mile trip</t>
  </si>
  <si>
    <t>User cost/savings, auto to bike, $/day</t>
  </si>
  <si>
    <t>User cost/savings, transit to bike, $/day</t>
  </si>
  <si>
    <t>% of riders shifted from taxi to bike</t>
  </si>
  <si>
    <t>% of riders shifted from personal bike to bike share</t>
  </si>
  <si>
    <t>VMT reduced per day (auto+taxi)</t>
  </si>
  <si>
    <t xml:space="preserve">Auto/Taxi VT/day reduced </t>
  </si>
  <si>
    <t>% of riders shifted from auto to bike</t>
  </si>
  <si>
    <t>% of riders shifted from bus/rail to bike</t>
  </si>
  <si>
    <t>Trips shifted from taxi</t>
  </si>
  <si>
    <t>Trips shifted from personal bike</t>
  </si>
  <si>
    <t>USER COST/SAVINGS</t>
  </si>
  <si>
    <t>User cost/savings, taxi to bike, $/day</t>
  </si>
  <si>
    <t>Avg. Fare - Taxi (DC, 1.5 mile trip), $</t>
  </si>
  <si>
    <t>Metrobus fare</t>
  </si>
  <si>
    <t>Avg. Fare - Transit, $ per 1.5 mile trip</t>
  </si>
  <si>
    <t>Taxi average cost per 1.5 mile trip</t>
  </si>
  <si>
    <t>Trips not taken before</t>
  </si>
  <si>
    <t>User cost/savings, walk/personal bike/trip not taken to bike, $/day</t>
  </si>
  <si>
    <t>Value of time, auto passenger, $/hour</t>
  </si>
  <si>
    <t xml:space="preserve">Average bus trip length replaced, miles </t>
  </si>
  <si>
    <t>Total</t>
  </si>
  <si>
    <t xml:space="preserve">Transit trips/day reduced </t>
  </si>
  <si>
    <t>http://ostpxweb.dot.gov/policy/Data/VOTrevision1_2-11-03.pdf</t>
  </si>
  <si>
    <t>Original Year</t>
  </si>
  <si>
    <t>Original Value</t>
  </si>
  <si>
    <t>Value of Time (waiting, walk access, etc)</t>
  </si>
  <si>
    <t>http://ostpxweb.dot.gov/policy/Data/VOTrevision1_2-11-03.pdf + HDR</t>
  </si>
  <si>
    <t xml:space="preserve">Total accidents, without bike-sharing </t>
  </si>
  <si>
    <t xml:space="preserve">Total accidents, with bike-sharing </t>
  </si>
  <si>
    <t xml:space="preserve">Bicycle trips, without bike-sharing </t>
  </si>
  <si>
    <t xml:space="preserve">Bicycle trips, with bike-sharing </t>
  </si>
  <si>
    <t>Value of waiting time, $/hour</t>
  </si>
  <si>
    <t>Injuries</t>
  </si>
  <si>
    <t>Fatalities</t>
  </si>
  <si>
    <t>Total Casualties</t>
  </si>
  <si>
    <t>DC</t>
  </si>
  <si>
    <t>Arlington County</t>
  </si>
  <si>
    <t>Alexandria</t>
  </si>
  <si>
    <t>Mongtomery County</t>
  </si>
  <si>
    <t>Prince George's County</t>
  </si>
  <si>
    <t>Peak period, hours per day</t>
  </si>
  <si>
    <t>Accident cost, per person affected</t>
  </si>
  <si>
    <t>Minor</t>
  </si>
  <si>
    <t>Moderate</t>
  </si>
  <si>
    <t>Serious</t>
  </si>
  <si>
    <t>Severe</t>
  </si>
  <si>
    <t>Critical</t>
  </si>
  <si>
    <t>% peak period trips, assumed</t>
  </si>
  <si>
    <t>Value of time, $/hour, no waiting included</t>
  </si>
  <si>
    <t>Montgomery</t>
  </si>
  <si>
    <t>Arlington</t>
  </si>
  <si>
    <t>Bike Ridership, HHTS, 1994</t>
  </si>
  <si>
    <t>Primary Mode</t>
  </si>
  <si>
    <t>Access</t>
  </si>
  <si>
    <t>Egress</t>
  </si>
  <si>
    <t>Additional accidents, with bike-sharing</t>
  </si>
  <si>
    <t>Total Accident Costs, $/year</t>
  </si>
  <si>
    <t xml:space="preserve">Current crash rate, annual crashes per daily rider </t>
  </si>
  <si>
    <t xml:space="preserve">Crash rate with bike-sharing, annual crashes per daily rider </t>
  </si>
  <si>
    <t>Total Bicycle trips with bike-sharing</t>
  </si>
  <si>
    <t>Accident Increase Factor</t>
  </si>
  <si>
    <t>Total Accidents</t>
  </si>
  <si>
    <t>Base</t>
  </si>
  <si>
    <t>Bike-sharing</t>
  </si>
  <si>
    <t>Total Ridership, w Bike sharing</t>
  </si>
  <si>
    <t>% of riders using transit also</t>
  </si>
  <si>
    <t>% of riders with increased access to transit</t>
  </si>
  <si>
    <t>Population with increased access to rail transit</t>
  </si>
  <si>
    <t>Employment with increased access to rail transit</t>
  </si>
  <si>
    <t>Pop with bike-sharing, access to rail transit</t>
  </si>
  <si>
    <t>Emp with bike-sharing, access to rail transit</t>
  </si>
  <si>
    <t>% of new transit trips coming from auto</t>
  </si>
  <si>
    <t>Average transit trip length, local route, WMATA</t>
  </si>
  <si>
    <t>Annual Operating and Maintenance</t>
  </si>
  <si>
    <t>Bike Replacement cost</t>
  </si>
  <si>
    <t>BIKE SHARING</t>
  </si>
  <si>
    <t>Annual cost of WMATA employee</t>
  </si>
  <si>
    <t>Bikes will be used for 6 years</t>
  </si>
  <si>
    <t>Health care cost increase for people completing 30 minutes of daily exercise vs those that don't ($/day)</t>
  </si>
  <si>
    <t>Discounted 3%</t>
  </si>
  <si>
    <t>Discounted 7%</t>
  </si>
  <si>
    <t>Discount rate, 3%</t>
  </si>
  <si>
    <t>Discount rate, 7%</t>
  </si>
  <si>
    <t>Net Present Value</t>
  </si>
  <si>
    <t>Rate of Return</t>
  </si>
  <si>
    <t>Benefit-Cost Ratio</t>
  </si>
  <si>
    <t>NET PRESENT VALUE</t>
  </si>
  <si>
    <t>IRR</t>
  </si>
  <si>
    <t>FCF</t>
  </si>
  <si>
    <t>B/C, 3%</t>
  </si>
  <si>
    <t>B/C, 7%</t>
  </si>
  <si>
    <t>Ridership</t>
  </si>
  <si>
    <t>Total Ridership, w/o Bike sharing</t>
  </si>
  <si>
    <t xml:space="preserve">Jacobsen, "Safety in Numbers" </t>
  </si>
  <si>
    <t>TPB Regional Travel Demand Model, with CAFÉ adjustments</t>
  </si>
  <si>
    <t>DOE AEO 2009</t>
  </si>
  <si>
    <t>Initial price, NHTSA</t>
  </si>
  <si>
    <t>TPB Travel demand model</t>
  </si>
  <si>
    <t>Average trip length, miles</t>
  </si>
  <si>
    <t>Based on average bike trip length</t>
  </si>
  <si>
    <t>Status Report on the Bus Systems in the National Capital Region: http://www.mwcog.org/store/item.asp?PUBLICATION_ID=328</t>
  </si>
  <si>
    <t>WMATA Metro Facts: http://www.wmata.com/about_metro/docs/metrofacts.pdf</t>
  </si>
  <si>
    <t>WMATA PCN Presentation: http://www.wmata.com/about_metro/riders_advisory_council/minutes/docs/Bus%20Priority%20Corridor%20Network%20Presentation.pdf</t>
  </si>
  <si>
    <t>Fatality</t>
  </si>
  <si>
    <t>NHTSA, TIGER Guidance</t>
  </si>
  <si>
    <t>District of Columbia Taxicab Commission--based on per mile fares</t>
  </si>
  <si>
    <t>The Case for Increased Federal Investment in Bicycling and Walking; Rails to Trails 2008</t>
  </si>
  <si>
    <t xml:space="preserve">The Case for Increased Federal Investment in Bicycling and Walking; Rails to Trails 2008  </t>
  </si>
  <si>
    <t>based on WMATA fares</t>
  </si>
  <si>
    <t>based on Montreal Bixi price structure</t>
  </si>
  <si>
    <t>based on per mile user costs for bike vs bus</t>
  </si>
  <si>
    <t>Virginia Department of Motor Vehicles, Maryland Office of Highway Safety, and the District Department of Transportation</t>
  </si>
  <si>
    <t>HHTS 1994 and 2007/2008</t>
  </si>
  <si>
    <t>Cost per ton, discounted 3%</t>
  </si>
  <si>
    <t>taken from SCC analysis for EO 12866, then undiscounted to use in the raw analysis, to be discounted again in aggregate with all other benefits</t>
  </si>
  <si>
    <t>Cost per ton, undiscounted</t>
  </si>
  <si>
    <t>XS</t>
  </si>
  <si>
    <t>S</t>
  </si>
  <si>
    <t>M</t>
  </si>
  <si>
    <t>L</t>
  </si>
  <si>
    <t># of bikes, existing</t>
  </si>
  <si>
    <t># of bikes, new</t>
  </si>
  <si>
    <t>Installation cost, initial</t>
  </si>
  <si>
    <t>Installation cost, expansion</t>
  </si>
  <si>
    <t>Per Station</t>
  </si>
  <si>
    <t>#</t>
  </si>
  <si>
    <t>Installation Cost</t>
  </si>
  <si>
    <t>Capital Cost</t>
  </si>
  <si>
    <t>System</t>
  </si>
  <si>
    <t>Operating Cost</t>
  </si>
  <si>
    <t>Operating Cost, per year</t>
  </si>
  <si>
    <t># of bikes, total</t>
  </si>
  <si>
    <t>Bike Replacement Cost (every 6 years)</t>
  </si>
  <si>
    <t>FY2011 cost</t>
  </si>
  <si>
    <t>FY2012 cost</t>
  </si>
  <si>
    <t>subsequent years cost (per bike)</t>
  </si>
  <si>
    <t>capital:</t>
  </si>
  <si>
    <t>operating cost per bike per year</t>
  </si>
  <si>
    <t>HHTS 94 and 2007 to get rate</t>
  </si>
  <si>
    <t>Ridership assumptions</t>
  </si>
  <si>
    <t>trips per bike</t>
  </si>
  <si>
    <t>Lyon (3100 bike system)</t>
  </si>
  <si>
    <t>Barcelona (6000 bike system)</t>
  </si>
  <si>
    <t>Washington DC (1100 bike system)</t>
  </si>
  <si>
    <t>With regional bike-sharing</t>
  </si>
  <si>
    <t>Without regional bike-sharing</t>
  </si>
  <si>
    <t>TIGER II Request</t>
  </si>
  <si>
    <t>Capital</t>
  </si>
  <si>
    <t>Operating</t>
  </si>
  <si>
    <t>Accident</t>
  </si>
  <si>
    <t>User Cost Savings</t>
  </si>
  <si>
    <t>Travel Time Savings</t>
  </si>
  <si>
    <t>Increased Access</t>
  </si>
  <si>
    <t>Congestion Reduction</t>
  </si>
  <si>
    <t>Emissions Reduction</t>
  </si>
  <si>
    <t>Healthcare Cost Savings</t>
  </si>
  <si>
    <t>Accident Reduction</t>
  </si>
  <si>
    <t>20-year period, 2010 dollars</t>
  </si>
  <si>
    <t>Difference (new riders)</t>
  </si>
  <si>
    <t>New System Only</t>
  </si>
  <si>
    <t>Includes new system and new riders on old system</t>
  </si>
  <si>
    <t xml:space="preserve">Fairfax County </t>
  </si>
  <si>
    <t>Prince George's</t>
  </si>
  <si>
    <t>Bike Ridership, HHTS, 2007/8</t>
  </si>
  <si>
    <t>Current bicycle trips (DC, MC, PG, ARL, ALX, FFX)</t>
  </si>
  <si>
    <t>Bikestations</t>
  </si>
  <si>
    <t xml:space="preserve">capital </t>
  </si>
  <si>
    <t xml:space="preserve">operations </t>
  </si>
  <si>
    <t>bike ridership increase</t>
  </si>
  <si>
    <t>transit ridership increase</t>
  </si>
  <si>
    <t># of bike parking spots</t>
  </si>
  <si>
    <t># of bikes per parking spot per day</t>
  </si>
  <si>
    <t>assumptions</t>
  </si>
  <si>
    <t>Bikestation assumptions, Andrea White-Kjoss, CEO email</t>
  </si>
  <si>
    <t>% riders, day pass</t>
  </si>
  <si>
    <t>Total user cost per mile</t>
  </si>
  <si>
    <t>VMT reduced per day, direct auto</t>
  </si>
  <si>
    <t>VMT reduced per day, new transit</t>
  </si>
  <si>
    <t>assuming 50% from auto, 50% new trips not taken before</t>
  </si>
  <si>
    <t>WMATA, average trip length for average of local and express services</t>
  </si>
  <si>
    <t>% mode shift from SOV</t>
  </si>
  <si>
    <t>% previous transit riders (all assumed to have biked previously)</t>
  </si>
  <si>
    <t>Data limited, not enough to assume more specific travel patterns</t>
  </si>
  <si>
    <t>Trips shifted from auto to transit</t>
  </si>
  <si>
    <t>User cost/savings, auto to transit, $/day</t>
  </si>
  <si>
    <t xml:space="preserve">Average replaced auto trip length (same as average transit trip), miles </t>
  </si>
  <si>
    <t>Metrorail fare, per trip, peak</t>
  </si>
  <si>
    <t>Metrorail fare, per trip, off peak</t>
  </si>
  <si>
    <t>Avg Metrorail fare, 6.5 mile trip</t>
  </si>
  <si>
    <t>Avg. Fare - Transit, $ per 6.5 mile trip</t>
  </si>
  <si>
    <t>User cost/savings</t>
  </si>
  <si>
    <t>VT reduced per day, direct auto</t>
  </si>
  <si>
    <t>VT reduced per day, new transit</t>
  </si>
  <si>
    <t>Total VMT/day reduced (including Bikestation benefits)</t>
  </si>
  <si>
    <t>Time cost/savings, auto to bike, hours/day</t>
  </si>
  <si>
    <t>Time cost/savings, taxi to bike, hours/day</t>
  </si>
  <si>
    <t>Time cost/savings, transit to bike, hours/day</t>
  </si>
  <si>
    <t>Time savings, walk to bike, hours/day</t>
  </si>
  <si>
    <t>Time cost, trip not taken, hours/day</t>
  </si>
  <si>
    <t>Time cost/savings, auto to transit, hours/day</t>
  </si>
  <si>
    <t>Value of Time (local auto)</t>
  </si>
  <si>
    <t>Value of Time (intercity auto)</t>
  </si>
  <si>
    <t xml:space="preserve">Transit hours traveled, per trip + 5 minute waiting </t>
  </si>
  <si>
    <t>Vehicle hours traveled, per trip + 5 minute parking penalty</t>
  </si>
  <si>
    <t>Vehicle hours traveled, per trip + 5 minute parking/out-of-vehicle penalty</t>
  </si>
  <si>
    <t xml:space="preserve">TRAVEL TIME </t>
  </si>
  <si>
    <t>time cost/savings, $/day</t>
  </si>
  <si>
    <t>time cost/savings, hours/day</t>
  </si>
  <si>
    <t>Total user cost savings from mode shift and Bikestations, $/day</t>
  </si>
  <si>
    <t>% new bike-to-transit riders</t>
  </si>
  <si>
    <t>% of spots full per day, 1st year</t>
  </si>
  <si>
    <t>% of spots full per day, other years</t>
  </si>
  <si>
    <t>% chg 94-08</t>
  </si>
  <si>
    <t>total</t>
  </si>
  <si>
    <t>diff</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</si>
</sst>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0_)"/>
    <numFmt numFmtId="166" formatCode="&quot;$&quot;#,##0.00"/>
    <numFmt numFmtId="167" formatCode="&quot;$&quot;#,##0.0000"/>
    <numFmt numFmtId="168" formatCode="0.0"/>
    <numFmt numFmtId="169" formatCode="0.0000"/>
    <numFmt numFmtId="170" formatCode="&quot;$&quot;#,##0"/>
    <numFmt numFmtId="171" formatCode="&quot;$&quot;#,##0.000"/>
    <numFmt numFmtId="172" formatCode="#,##0.0000"/>
    <numFmt numFmtId="173" formatCode="#,##0\ "/>
    <numFmt numFmtId="174" formatCode="_([$€-2]* #,##0.00_);_([$€-2]* \(#,##0.00\);_([$€-2]* &quot;-&quot;??_)"/>
    <numFmt numFmtId="175" formatCode="_-* #,##0\ _P_t_s_-;\-* #,##0\ _P_t_s_-;_-* &quot;-&quot;\ _P_t_s_-;_-@_-"/>
    <numFmt numFmtId="176" formatCode="_-* #,##0.00\ _P_t_s_-;\-* #,##0.00\ _P_t_s_-;_-* &quot;-&quot;??\ _P_t_s_-;_-@_-"/>
    <numFmt numFmtId="177" formatCode="_-&quot;S/.&quot;* #,##0_-;\-&quot;S/.&quot;* #,##0_-;_-&quot;S/.&quot;* &quot;-&quot;_-;_-@_-"/>
    <numFmt numFmtId="178" formatCode="_-&quot;S/.&quot;* #,##0.00_-;\-&quot;S/.&quot;* #,##0.00_-;_-&quot;S/.&quot;* &quot;-&quot;??_-;_-@_-"/>
    <numFmt numFmtId="179" formatCode="_(&quot;$&quot;* #,##0.0_);_(&quot;$&quot;* \(#,##0.0\);_(&quot;$&quot;* &quot;-&quot;??_);_(@_)"/>
  </numFmts>
  <fonts count="62">
    <font>
      <sz val="10"/>
      <name val="Arial"/>
    </font>
    <font>
      <sz val="10"/>
      <name val="Arial"/>
    </font>
    <font>
      <sz val="8"/>
      <name val="Arial"/>
    </font>
    <font>
      <u/>
      <sz val="10"/>
      <color indexed="12"/>
      <name val="Arial"/>
    </font>
    <font>
      <b/>
      <sz val="10"/>
      <name val="Arial"/>
      <family val="2"/>
    </font>
    <font>
      <sz val="10"/>
      <color indexed="10"/>
      <name val="Arial"/>
    </font>
    <font>
      <sz val="10"/>
      <name val="Arial"/>
      <family val="2"/>
    </font>
    <font>
      <sz val="11"/>
      <color indexed="8"/>
      <name val="Calibri"/>
      <family val="2"/>
    </font>
    <font>
      <sz val="11"/>
      <color indexed="9"/>
      <name val="Calibri"/>
      <family val="2"/>
    </font>
    <font>
      <sz val="11"/>
      <name val="Arial"/>
      <family val="2"/>
    </font>
    <font>
      <sz val="11"/>
      <color indexed="20"/>
      <name val="Calibri"/>
      <family val="2"/>
    </font>
    <font>
      <b/>
      <sz val="11"/>
      <color indexed="52"/>
      <name val="Calibri"/>
      <family val="2"/>
    </font>
    <font>
      <b/>
      <sz val="11"/>
      <color indexed="9"/>
      <name val="Calibri"/>
      <family val="2"/>
    </font>
    <font>
      <sz val="10"/>
      <name val="Times New Roman"/>
      <family val="1"/>
    </font>
    <font>
      <sz val="10"/>
      <name val="Helv"/>
    </font>
    <font>
      <sz val="8"/>
      <name val="Tms Rmn"/>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7"/>
      <name val="Small Fonts"/>
      <family val="2"/>
    </font>
    <font>
      <b/>
      <i/>
      <sz val="16"/>
      <name val="Helv"/>
    </font>
    <font>
      <sz val="14"/>
      <name val="–¾’©"/>
      <charset val="128"/>
    </font>
    <font>
      <b/>
      <sz val="11"/>
      <color indexed="63"/>
      <name val="Calibri"/>
      <family val="2"/>
    </font>
    <font>
      <sz val="10"/>
      <name val="MS Sans Serif"/>
      <family val="2"/>
    </font>
    <font>
      <sz val="8"/>
      <name val="Times New Roman"/>
      <family val="1"/>
    </font>
    <font>
      <sz val="14"/>
      <name val="Arial"/>
      <family val="2"/>
    </font>
    <font>
      <b/>
      <sz val="9"/>
      <name val="Arial"/>
      <family val="2"/>
    </font>
    <font>
      <sz val="18"/>
      <name val="Arial"/>
      <family val="2"/>
    </font>
    <font>
      <b/>
      <sz val="18"/>
      <color indexed="56"/>
      <name val="Cambria"/>
      <family val="2"/>
    </font>
    <font>
      <b/>
      <sz val="11"/>
      <color indexed="8"/>
      <name val="Calibri"/>
      <family val="2"/>
    </font>
    <font>
      <sz val="11"/>
      <color indexed="10"/>
      <name val="Calibri"/>
      <family val="2"/>
    </font>
    <font>
      <b/>
      <sz val="8"/>
      <name val="Arial"/>
      <family val="2"/>
    </font>
    <font>
      <b/>
      <sz val="10"/>
      <color indexed="10"/>
      <name val="Arial"/>
      <family val="2"/>
    </font>
    <font>
      <sz val="10"/>
      <color indexed="60"/>
      <name val="Arial"/>
      <family val="2"/>
    </font>
    <font>
      <b/>
      <vertAlign val="subscript"/>
      <sz val="10"/>
      <color indexed="10"/>
      <name val="Arial"/>
      <family val="2"/>
    </font>
    <font>
      <b/>
      <sz val="10"/>
      <name val="Arial"/>
    </font>
    <font>
      <sz val="10"/>
      <name val="Arial"/>
    </font>
    <font>
      <sz val="10"/>
      <color indexed="55"/>
      <name val="Arial"/>
    </font>
    <font>
      <sz val="9"/>
      <name val="Arial"/>
      <family val="2"/>
    </font>
    <font>
      <sz val="9"/>
      <name val="Arial"/>
    </font>
    <font>
      <b/>
      <sz val="9"/>
      <name val="Arial"/>
    </font>
    <font>
      <sz val="9"/>
      <color indexed="10"/>
      <name val="Arial"/>
    </font>
    <font>
      <sz val="9"/>
      <name val="Times New Roman"/>
      <family val="1"/>
    </font>
    <font>
      <b/>
      <sz val="10"/>
      <color indexed="10"/>
      <name val="Arial"/>
    </font>
    <font>
      <vertAlign val="subscript"/>
      <sz val="9"/>
      <name val="Arial"/>
      <family val="2"/>
    </font>
    <font>
      <sz val="10"/>
      <color indexed="8"/>
      <name val="Arial"/>
      <family val="2"/>
    </font>
    <font>
      <b/>
      <sz val="9"/>
      <color indexed="10"/>
      <name val="Arial"/>
      <family val="2"/>
    </font>
    <font>
      <i/>
      <sz val="10"/>
      <name val="Arial"/>
      <family val="2"/>
    </font>
    <font>
      <i/>
      <sz val="9"/>
      <name val="Arial"/>
      <family val="2"/>
    </font>
    <font>
      <b/>
      <i/>
      <sz val="10"/>
      <name val="Arial"/>
      <family val="2"/>
    </font>
    <font>
      <b/>
      <sz val="9"/>
      <color indexed="48"/>
      <name val="Arial"/>
      <family val="2"/>
    </font>
    <font>
      <sz val="9"/>
      <color indexed="48"/>
      <name val="Arial"/>
      <family val="2"/>
    </font>
    <font>
      <sz val="9"/>
      <color indexed="17"/>
      <name val="Arial"/>
    </font>
    <font>
      <b/>
      <sz val="9"/>
      <color indexed="17"/>
      <name val="Arial"/>
    </font>
    <font>
      <sz val="10"/>
      <color rgb="FFFF0000"/>
      <name val="Arial"/>
      <family val="2"/>
    </font>
    <font>
      <sz val="10"/>
      <color theme="0" tint="-0.3499862666707357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bottom style="thin">
        <color indexed="8"/>
      </bottom>
      <diagonal/>
    </border>
    <border>
      <left style="thin">
        <color indexed="8"/>
      </left>
      <right/>
      <top/>
      <bottom/>
      <diagonal/>
    </border>
    <border>
      <left/>
      <right/>
      <top style="thin">
        <color indexed="8"/>
      </top>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7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173" fontId="9" fillId="0" borderId="0">
      <alignment vertical="center"/>
    </xf>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1" fillId="0" borderId="0" applyFont="0" applyFill="0" applyBorder="0" applyAlignment="0" applyProtection="0"/>
    <xf numFmtId="3" fontId="13" fillId="0" borderId="0"/>
    <xf numFmtId="6" fontId="14" fillId="0" borderId="0" applyFont="0" applyFill="0" applyBorder="0" applyAlignment="0" applyProtection="0"/>
    <xf numFmtId="8" fontId="15" fillId="0" borderId="0" applyBorder="0" applyAlignment="0"/>
    <xf numFmtId="174" fontId="1"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38" fontId="18" fillId="22"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3" fillId="0" borderId="0" applyNumberFormat="0" applyFill="0" applyBorder="0" applyAlignment="0" applyProtection="0">
      <alignment vertical="top"/>
      <protection locked="0"/>
    </xf>
    <xf numFmtId="0" fontId="22" fillId="7" borderId="1" applyNumberFormat="0" applyAlignment="0" applyProtection="0"/>
    <xf numFmtId="10" fontId="18" fillId="23" borderId="6" applyNumberFormat="0" applyBorder="0" applyAlignment="0" applyProtection="0"/>
    <xf numFmtId="0" fontId="23" fillId="0" borderId="7" applyNumberFormat="0" applyFill="0" applyAlignment="0" applyProtection="0"/>
    <xf numFmtId="175" fontId="1" fillId="0" borderId="0" applyFont="0" applyFill="0" applyBorder="0" applyAlignment="0" applyProtection="0"/>
    <xf numFmtId="176" fontId="1" fillId="0" borderId="0" applyFon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24" fillId="24" borderId="0" applyNumberFormat="0" applyBorder="0" applyAlignment="0" applyProtection="0"/>
    <xf numFmtId="37" fontId="25" fillId="0" borderId="0"/>
    <xf numFmtId="165" fontId="26" fillId="0" borderId="0"/>
    <xf numFmtId="0" fontId="1" fillId="25" borderId="8" applyNumberFormat="0" applyFont="0" applyAlignment="0" applyProtection="0"/>
    <xf numFmtId="40" fontId="27" fillId="0" borderId="0" applyFont="0" applyFill="0" applyBorder="0" applyAlignment="0" applyProtection="0"/>
    <xf numFmtId="38" fontId="27" fillId="0" borderId="0" applyFont="0" applyFill="0" applyBorder="0" applyAlignment="0" applyProtection="0"/>
    <xf numFmtId="0" fontId="28" fillId="20" borderId="9" applyNumberFormat="0" applyAlignment="0" applyProtection="0"/>
    <xf numFmtId="10" fontId="1" fillId="0" borderId="0" applyFont="0" applyFill="0" applyBorder="0" applyAlignment="0" applyProtection="0"/>
    <xf numFmtId="10" fontId="29" fillId="0" borderId="0" applyFont="0" applyFill="0" applyBorder="0" applyAlignment="0" applyProtection="0"/>
    <xf numFmtId="0" fontId="30" fillId="0" borderId="10" applyNumberFormat="0" applyAlignment="0"/>
    <xf numFmtId="0" fontId="1" fillId="0" borderId="11" applyNumberFormat="0" applyFont="0" applyFill="0" applyAlignment="0" applyProtection="0"/>
    <xf numFmtId="0" fontId="1" fillId="0" borderId="12" applyNumberFormat="0" applyFont="0" applyFill="0" applyAlignment="0" applyProtection="0"/>
    <xf numFmtId="0" fontId="1" fillId="0" borderId="8" applyNumberFormat="0" applyFont="0" applyFill="0" applyAlignment="0" applyProtection="0"/>
    <xf numFmtId="0" fontId="31" fillId="0" borderId="0" applyNumberFormat="0" applyFill="0" applyBorder="0" applyAlignment="0" applyProtection="0"/>
    <xf numFmtId="0" fontId="32" fillId="0" borderId="0" applyNumberFormat="0" applyFill="0" applyBorder="0" applyProtection="0">
      <alignment horizontal="left"/>
    </xf>
    <xf numFmtId="0" fontId="33" fillId="0" borderId="0" applyNumberFormat="0" applyFill="0" applyBorder="0" applyAlignment="0" applyProtection="0"/>
    <xf numFmtId="0" fontId="1" fillId="0" borderId="13" applyNumberFormat="0" applyFont="0" applyFill="0" applyAlignment="0" applyProtection="0"/>
    <xf numFmtId="0" fontId="34" fillId="0" borderId="0" applyNumberFormat="0" applyFill="0" applyBorder="0" applyAlignment="0" applyProtection="0"/>
    <xf numFmtId="0" fontId="35" fillId="0" borderId="14" applyNumberFormat="0" applyFill="0" applyAlignment="0" applyProtection="0"/>
    <xf numFmtId="0" fontId="36"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0" fillId="0" borderId="6" xfId="0" applyBorder="1"/>
    <xf numFmtId="0" fontId="0" fillId="26" borderId="0" xfId="0" applyFill="1"/>
    <xf numFmtId="0" fontId="6" fillId="26" borderId="0" xfId="0" applyFont="1" applyFill="1" applyAlignment="1">
      <alignment horizontal="left" indent="2"/>
    </xf>
    <xf numFmtId="0" fontId="4" fillId="0" borderId="0" xfId="0" applyFont="1"/>
    <xf numFmtId="0" fontId="0" fillId="0" borderId="0" xfId="0" applyAlignment="1" applyProtection="1">
      <alignment horizontal="left"/>
    </xf>
    <xf numFmtId="165" fontId="0" fillId="0" borderId="0" xfId="0" applyNumberFormat="1" applyProtection="1"/>
    <xf numFmtId="0" fontId="32" fillId="0" borderId="0" xfId="0" applyFont="1"/>
    <xf numFmtId="0" fontId="37" fillId="0" borderId="0" xfId="0" applyFont="1" applyAlignment="1">
      <alignment horizontal="center"/>
    </xf>
    <xf numFmtId="0" fontId="4" fillId="27" borderId="6" xfId="0" applyFont="1" applyFill="1" applyBorder="1" applyAlignment="1">
      <alignment horizontal="center"/>
    </xf>
    <xf numFmtId="0" fontId="6" fillId="28" borderId="6" xfId="0" applyFont="1" applyFill="1" applyBorder="1"/>
    <xf numFmtId="8" fontId="6" fillId="28" borderId="6" xfId="0" applyNumberFormat="1" applyFont="1" applyFill="1" applyBorder="1" applyAlignment="1">
      <alignment horizontal="right"/>
    </xf>
    <xf numFmtId="166" fontId="6" fillId="28" borderId="6" xfId="0" applyNumberFormat="1" applyFont="1" applyFill="1" applyBorder="1" applyAlignment="1">
      <alignment horizontal="right"/>
    </xf>
    <xf numFmtId="0" fontId="0" fillId="0" borderId="6" xfId="0" applyBorder="1" applyAlignment="1">
      <alignment horizontal="center"/>
    </xf>
    <xf numFmtId="167" fontId="39" fillId="0" borderId="6" xfId="0" applyNumberFormat="1" applyFont="1" applyFill="1" applyBorder="1" applyAlignment="1">
      <alignment horizontal="right"/>
    </xf>
    <xf numFmtId="0" fontId="39" fillId="0" borderId="6" xfId="0" applyFont="1" applyBorder="1" applyAlignment="1">
      <alignment horizontal="center"/>
    </xf>
    <xf numFmtId="166" fontId="0" fillId="0" borderId="6" xfId="0" applyNumberFormat="1" applyBorder="1"/>
    <xf numFmtId="166" fontId="6" fillId="0" borderId="6" xfId="0" applyNumberFormat="1" applyFont="1" applyBorder="1"/>
    <xf numFmtId="0" fontId="6" fillId="0" borderId="6" xfId="0" applyFont="1" applyBorder="1"/>
    <xf numFmtId="166" fontId="6" fillId="0" borderId="6" xfId="29" applyNumberFormat="1" applyFont="1" applyBorder="1"/>
    <xf numFmtId="0" fontId="6" fillId="0" borderId="15" xfId="0" applyFont="1" applyBorder="1"/>
    <xf numFmtId="166" fontId="0" fillId="0" borderId="15" xfId="0" applyNumberFormat="1" applyBorder="1"/>
    <xf numFmtId="0" fontId="0" fillId="0" borderId="15" xfId="0" applyBorder="1" applyAlignment="1">
      <alignment horizontal="center"/>
    </xf>
    <xf numFmtId="0" fontId="6" fillId="0" borderId="6" xfId="0" applyFont="1" applyFill="1" applyBorder="1"/>
    <xf numFmtId="15" fontId="0" fillId="0" borderId="0" xfId="0" applyNumberFormat="1"/>
    <xf numFmtId="0" fontId="38" fillId="0" borderId="0" xfId="0" applyFont="1"/>
    <xf numFmtId="0" fontId="0" fillId="0" borderId="0" xfId="0" applyFill="1" applyAlignment="1">
      <alignment horizontal="left"/>
    </xf>
    <xf numFmtId="0" fontId="0" fillId="0" borderId="0" xfId="0" applyFill="1"/>
    <xf numFmtId="0" fontId="1" fillId="0" borderId="0" xfId="0" applyFont="1"/>
    <xf numFmtId="0" fontId="41" fillId="27" borderId="6" xfId="0" applyFont="1" applyFill="1" applyBorder="1" applyAlignment="1">
      <alignment horizontal="center"/>
    </xf>
    <xf numFmtId="0" fontId="42" fillId="0" borderId="6" xfId="0" applyFont="1" applyBorder="1" applyAlignment="1">
      <alignment horizontal="center"/>
    </xf>
    <xf numFmtId="0" fontId="42" fillId="0" borderId="6" xfId="0" applyFont="1" applyBorder="1" applyAlignment="1">
      <alignment horizontal="center" wrapText="1"/>
    </xf>
    <xf numFmtId="0" fontId="42" fillId="0" borderId="0" xfId="0" applyFont="1"/>
    <xf numFmtId="0" fontId="43" fillId="0" borderId="0" xfId="0" applyFont="1"/>
    <xf numFmtId="165" fontId="43" fillId="0" borderId="0" xfId="0" applyNumberFormat="1" applyFont="1" applyProtection="1"/>
    <xf numFmtId="0" fontId="43" fillId="0" borderId="0" xfId="0" applyFont="1" applyFill="1"/>
    <xf numFmtId="0" fontId="6" fillId="0" borderId="6" xfId="0" applyFont="1" applyFill="1" applyBorder="1" applyAlignment="1">
      <alignment horizontal="left" vertical="top" wrapText="1"/>
    </xf>
    <xf numFmtId="1" fontId="0" fillId="0" borderId="0" xfId="0" applyNumberFormat="1"/>
    <xf numFmtId="170" fontId="0" fillId="0" borderId="0" xfId="0" applyNumberFormat="1"/>
    <xf numFmtId="0" fontId="4" fillId="0" borderId="0" xfId="0" applyFont="1" applyFill="1"/>
    <xf numFmtId="0" fontId="4" fillId="29" borderId="0" xfId="0" applyFont="1" applyFill="1"/>
    <xf numFmtId="0" fontId="0" fillId="29" borderId="0" xfId="0" applyFill="1"/>
    <xf numFmtId="0" fontId="5" fillId="0" borderId="0" xfId="0" applyFont="1" applyFill="1"/>
    <xf numFmtId="0" fontId="6" fillId="0" borderId="0" xfId="0" applyFont="1" applyFill="1" applyBorder="1" applyAlignment="1">
      <alignment horizontal="right" vertical="top" wrapText="1"/>
    </xf>
    <xf numFmtId="0" fontId="6" fillId="0" borderId="0" xfId="0" applyFont="1" applyFill="1"/>
    <xf numFmtId="164" fontId="0" fillId="0" borderId="0" xfId="0" applyNumberFormat="1" applyFill="1"/>
    <xf numFmtId="164" fontId="5" fillId="0" borderId="0" xfId="0" applyNumberFormat="1" applyFont="1" applyFill="1"/>
    <xf numFmtId="0" fontId="6" fillId="0" borderId="0" xfId="0" applyFont="1" applyFill="1" applyBorder="1" applyAlignment="1">
      <alignment horizontal="left" vertical="top" wrapText="1"/>
    </xf>
    <xf numFmtId="0" fontId="32" fillId="0" borderId="0" xfId="0" applyFont="1" applyFill="1" applyBorder="1"/>
    <xf numFmtId="0" fontId="45" fillId="0" borderId="0" xfId="0" applyFont="1" applyFill="1" applyBorder="1"/>
    <xf numFmtId="0" fontId="45" fillId="26" borderId="0" xfId="0" applyFont="1" applyFill="1" applyBorder="1"/>
    <xf numFmtId="0" fontId="45" fillId="0" borderId="0" xfId="0" applyFont="1" applyFill="1"/>
    <xf numFmtId="0" fontId="46" fillId="0" borderId="0" xfId="0" applyFont="1" applyFill="1" applyBorder="1"/>
    <xf numFmtId="0" fontId="45" fillId="0" borderId="0" xfId="0" applyFont="1" applyFill="1" applyBorder="1" applyAlignment="1">
      <alignment horizontal="left"/>
    </xf>
    <xf numFmtId="0" fontId="45" fillId="0" borderId="0" xfId="0" applyFont="1" applyFill="1" applyBorder="1" applyAlignment="1">
      <alignment horizontal="left" indent="2"/>
    </xf>
    <xf numFmtId="0" fontId="46" fillId="0" borderId="0" xfId="0" applyFont="1" applyFill="1" applyBorder="1" applyAlignment="1">
      <alignment horizontal="left"/>
    </xf>
    <xf numFmtId="0" fontId="45" fillId="0" borderId="0" xfId="0" applyFont="1" applyFill="1" applyBorder="1" applyAlignment="1">
      <alignment horizontal="left" indent="1"/>
    </xf>
    <xf numFmtId="0" fontId="45" fillId="0" borderId="0" xfId="0" applyFont="1" applyFill="1" applyAlignment="1">
      <alignment horizontal="right"/>
    </xf>
    <xf numFmtId="0" fontId="46" fillId="0" borderId="0" xfId="0" applyFont="1" applyFill="1" applyAlignment="1">
      <alignment horizontal="left"/>
    </xf>
    <xf numFmtId="0" fontId="47" fillId="0" borderId="0" xfId="0" applyFont="1" applyFill="1" applyAlignment="1">
      <alignment horizontal="right"/>
    </xf>
    <xf numFmtId="0" fontId="45" fillId="0" borderId="0" xfId="0" applyFont="1" applyFill="1" applyBorder="1" applyAlignment="1">
      <alignment horizontal="right" vertical="top" wrapText="1"/>
    </xf>
    <xf numFmtId="0" fontId="47" fillId="0" borderId="0" xfId="0" applyFont="1" applyFill="1" applyBorder="1" applyAlignment="1">
      <alignment horizontal="right" vertical="top" wrapText="1"/>
    </xf>
    <xf numFmtId="164" fontId="45" fillId="0" borderId="0" xfId="29" applyNumberFormat="1" applyFont="1" applyFill="1"/>
    <xf numFmtId="0" fontId="45" fillId="0" borderId="0" xfId="0" applyFont="1" applyFill="1" applyBorder="1" applyAlignment="1">
      <alignment horizontal="left" vertical="top" wrapText="1"/>
    </xf>
    <xf numFmtId="0" fontId="45" fillId="0" borderId="0" xfId="0" applyFont="1"/>
    <xf numFmtId="0" fontId="44" fillId="0" borderId="0" xfId="0" applyFont="1" applyFill="1" applyAlignment="1">
      <alignment horizontal="left"/>
    </xf>
    <xf numFmtId="0" fontId="44" fillId="0" borderId="0" xfId="0" applyFont="1" applyFill="1"/>
    <xf numFmtId="170" fontId="45" fillId="0" borderId="0" xfId="0" applyNumberFormat="1" applyFont="1" applyBorder="1"/>
    <xf numFmtId="0" fontId="45" fillId="0" borderId="0" xfId="0" applyFont="1" applyBorder="1"/>
    <xf numFmtId="0" fontId="32" fillId="0" borderId="0" xfId="0" applyFont="1" applyFill="1"/>
    <xf numFmtId="1" fontId="45" fillId="0" borderId="0" xfId="0" applyNumberFormat="1" applyFont="1" applyBorder="1"/>
    <xf numFmtId="8" fontId="45" fillId="0" borderId="0" xfId="0" applyNumberFormat="1" applyFont="1" applyBorder="1"/>
    <xf numFmtId="0" fontId="48" fillId="0" borderId="0" xfId="0" applyFont="1"/>
    <xf numFmtId="166" fontId="51" fillId="0" borderId="6" xfId="0" applyNumberFormat="1" applyFont="1" applyFill="1" applyBorder="1" applyAlignment="1">
      <alignment horizontal="right" vertical="center"/>
    </xf>
    <xf numFmtId="0" fontId="32" fillId="0" borderId="0" xfId="0" applyFont="1" applyFill="1" applyAlignment="1">
      <alignment horizontal="left"/>
    </xf>
    <xf numFmtId="0" fontId="32" fillId="0" borderId="0" xfId="0" applyFont="1" applyFill="1" applyAlignment="1">
      <alignment horizontal="right"/>
    </xf>
    <xf numFmtId="168" fontId="0" fillId="0" borderId="0" xfId="0" applyNumberFormat="1"/>
    <xf numFmtId="171" fontId="45" fillId="0" borderId="0" xfId="0" applyNumberFormat="1" applyFont="1" applyBorder="1"/>
    <xf numFmtId="0" fontId="46" fillId="0" borderId="0" xfId="0" applyFont="1"/>
    <xf numFmtId="0" fontId="46" fillId="0" borderId="0" xfId="0" applyFont="1" applyFill="1"/>
    <xf numFmtId="0" fontId="1" fillId="26" borderId="0" xfId="0" applyFont="1" applyFill="1"/>
    <xf numFmtId="1" fontId="1" fillId="0" borderId="0" xfId="0" applyNumberFormat="1" applyFont="1" applyFill="1"/>
    <xf numFmtId="1" fontId="1" fillId="0" borderId="0" xfId="0" applyNumberFormat="1" applyFont="1"/>
    <xf numFmtId="0" fontId="45" fillId="0" borderId="0" xfId="0" applyFont="1" applyFill="1" applyBorder="1" applyAlignment="1">
      <alignment horizontal="right"/>
    </xf>
    <xf numFmtId="0" fontId="45" fillId="0" borderId="0" xfId="0" applyFont="1" applyFill="1" applyAlignment="1">
      <alignment horizontal="left"/>
    </xf>
    <xf numFmtId="164" fontId="45" fillId="0" borderId="0" xfId="29" applyNumberFormat="1" applyFont="1" applyFill="1" applyBorder="1" applyAlignment="1">
      <alignment horizontal="right"/>
    </xf>
    <xf numFmtId="3" fontId="45" fillId="0" borderId="0" xfId="0" applyNumberFormat="1" applyFont="1" applyFill="1" applyBorder="1"/>
    <xf numFmtId="164" fontId="45" fillId="0" borderId="0" xfId="29" applyNumberFormat="1" applyFont="1" applyFill="1" applyBorder="1"/>
    <xf numFmtId="0" fontId="47" fillId="0" borderId="0" xfId="0" applyFont="1" applyFill="1"/>
    <xf numFmtId="0" fontId="49" fillId="0" borderId="0" xfId="0" applyFont="1" applyFill="1"/>
    <xf numFmtId="0" fontId="44" fillId="0" borderId="0" xfId="0" applyFont="1"/>
    <xf numFmtId="0" fontId="47" fillId="0" borderId="0" xfId="0" applyFont="1"/>
    <xf numFmtId="0" fontId="47" fillId="0" borderId="0" xfId="0" applyFont="1" applyBorder="1" applyAlignment="1">
      <alignment horizontal="right" vertical="top" wrapText="1"/>
    </xf>
    <xf numFmtId="169" fontId="45" fillId="0" borderId="0" xfId="0" applyNumberFormat="1" applyFont="1" applyBorder="1"/>
    <xf numFmtId="0" fontId="0" fillId="27" borderId="0" xfId="0" applyFill="1" applyAlignment="1">
      <alignment horizontal="center"/>
    </xf>
    <xf numFmtId="0" fontId="45" fillId="27" borderId="0" xfId="0" applyFont="1" applyFill="1" applyAlignment="1">
      <alignment horizontal="center"/>
    </xf>
    <xf numFmtId="0" fontId="0" fillId="0" borderId="0" xfId="0" applyAlignment="1">
      <alignment horizontal="center"/>
    </xf>
    <xf numFmtId="0" fontId="0" fillId="26" borderId="0" xfId="0" applyFill="1" applyAlignment="1">
      <alignment horizontal="center"/>
    </xf>
    <xf numFmtId="0" fontId="43" fillId="0" borderId="0" xfId="0" applyFont="1" applyAlignment="1">
      <alignment horizontal="center"/>
    </xf>
    <xf numFmtId="0" fontId="0" fillId="27" borderId="0" xfId="0" applyFill="1" applyBorder="1" applyAlignment="1">
      <alignment horizontal="center"/>
    </xf>
    <xf numFmtId="0" fontId="0" fillId="0" borderId="0" xfId="0" applyBorder="1"/>
    <xf numFmtId="0" fontId="47" fillId="0" borderId="0" xfId="0" applyFont="1" applyBorder="1"/>
    <xf numFmtId="8" fontId="1" fillId="0" borderId="0" xfId="0" applyNumberFormat="1" applyFont="1"/>
    <xf numFmtId="0" fontId="44" fillId="0" borderId="0" xfId="0" applyFont="1" applyFill="1" applyBorder="1" applyAlignment="1">
      <alignment horizontal="left"/>
    </xf>
    <xf numFmtId="0" fontId="0" fillId="0" borderId="0" xfId="0" applyFill="1" applyAlignment="1">
      <alignment horizontal="center"/>
    </xf>
    <xf numFmtId="0" fontId="4" fillId="0" borderId="0" xfId="0" applyFont="1" applyFill="1" applyAlignment="1">
      <alignment horizontal="left"/>
    </xf>
    <xf numFmtId="166" fontId="43" fillId="0" borderId="0" xfId="0" applyNumberFormat="1" applyFont="1"/>
    <xf numFmtId="166" fontId="0" fillId="0" borderId="0" xfId="0" applyNumberFormat="1"/>
    <xf numFmtId="169" fontId="43" fillId="0" borderId="0" xfId="0" applyNumberFormat="1" applyFont="1"/>
    <xf numFmtId="169" fontId="0" fillId="0" borderId="0" xfId="0" applyNumberFormat="1"/>
    <xf numFmtId="170" fontId="32" fillId="0" borderId="0" xfId="0" applyNumberFormat="1" applyFont="1" applyBorder="1"/>
    <xf numFmtId="0" fontId="6" fillId="0" borderId="0" xfId="0" applyFont="1"/>
    <xf numFmtId="0" fontId="6" fillId="0" borderId="6" xfId="0" applyFont="1" applyBorder="1" applyAlignment="1">
      <alignment horizontal="left" vertical="top" wrapText="1"/>
    </xf>
    <xf numFmtId="0" fontId="0" fillId="0" borderId="6" xfId="0" applyFill="1" applyBorder="1" applyAlignment="1">
      <alignment horizontal="center"/>
    </xf>
    <xf numFmtId="167" fontId="0" fillId="0" borderId="6" xfId="0" applyNumberFormat="1" applyBorder="1"/>
    <xf numFmtId="0" fontId="32" fillId="0" borderId="0" xfId="0" applyFont="1" applyBorder="1" applyAlignment="1">
      <alignment horizontal="left" vertical="top" wrapText="1"/>
    </xf>
    <xf numFmtId="170" fontId="45" fillId="0" borderId="0" xfId="29" applyNumberFormat="1" applyFont="1" applyFill="1" applyBorder="1"/>
    <xf numFmtId="170" fontId="32" fillId="0" borderId="0" xfId="29" applyNumberFormat="1" applyFont="1" applyFill="1" applyBorder="1"/>
    <xf numFmtId="0" fontId="0" fillId="0" borderId="0" xfId="0" quotePrefix="1"/>
    <xf numFmtId="9" fontId="0" fillId="0" borderId="0" xfId="0" applyNumberFormat="1"/>
    <xf numFmtId="0" fontId="3" fillId="0" borderId="6" xfId="41" applyFont="1" applyBorder="1" applyAlignment="1" applyProtection="1">
      <alignment horizontal="center"/>
    </xf>
    <xf numFmtId="166" fontId="1" fillId="0" borderId="0" xfId="0" applyNumberFormat="1" applyFont="1"/>
    <xf numFmtId="0" fontId="52" fillId="0" borderId="0" xfId="0" applyFont="1" applyFill="1" applyAlignment="1">
      <alignment horizontal="left"/>
    </xf>
    <xf numFmtId="0" fontId="52" fillId="0" borderId="0" xfId="0" applyFont="1" applyFill="1"/>
    <xf numFmtId="170" fontId="52" fillId="0" borderId="0" xfId="0" applyNumberFormat="1" applyFont="1" applyBorder="1"/>
    <xf numFmtId="0" fontId="52" fillId="0" borderId="0" xfId="0" applyFont="1"/>
    <xf numFmtId="0" fontId="52" fillId="0" borderId="0" xfId="0" applyFont="1" applyFill="1" applyBorder="1" applyAlignment="1">
      <alignment horizontal="left"/>
    </xf>
    <xf numFmtId="0" fontId="52" fillId="0" borderId="0" xfId="0" applyFont="1" applyFill="1" applyBorder="1"/>
    <xf numFmtId="8" fontId="0" fillId="0" borderId="0" xfId="0" applyNumberFormat="1"/>
    <xf numFmtId="2" fontId="45" fillId="0" borderId="0" xfId="0" applyNumberFormat="1" applyFont="1" applyBorder="1"/>
    <xf numFmtId="9" fontId="45" fillId="0" borderId="0" xfId="0" applyNumberFormat="1" applyFont="1" applyBorder="1"/>
    <xf numFmtId="0" fontId="1" fillId="26" borderId="0" xfId="41" applyFont="1" applyFill="1" applyAlignment="1" applyProtection="1"/>
    <xf numFmtId="0" fontId="44" fillId="26" borderId="0" xfId="0" applyFont="1" applyFill="1"/>
    <xf numFmtId="1" fontId="6" fillId="0" borderId="0" xfId="0" applyNumberFormat="1" applyFont="1"/>
    <xf numFmtId="0" fontId="42" fillId="0" borderId="6" xfId="0" applyFont="1" applyBorder="1" applyAlignment="1">
      <alignment horizontal="left"/>
    </xf>
    <xf numFmtId="9" fontId="1" fillId="0" borderId="0" xfId="0" applyNumberFormat="1" applyFont="1" applyFill="1"/>
    <xf numFmtId="167" fontId="6" fillId="0" borderId="6" xfId="0" applyNumberFormat="1" applyFont="1" applyFill="1" applyBorder="1" applyAlignment="1">
      <alignment horizontal="right"/>
    </xf>
    <xf numFmtId="170" fontId="45" fillId="0" borderId="0" xfId="0" applyNumberFormat="1" applyFont="1" applyFill="1"/>
    <xf numFmtId="0" fontId="0" fillId="30" borderId="0" xfId="0" applyFill="1" applyAlignment="1">
      <alignment horizontal="center"/>
    </xf>
    <xf numFmtId="0" fontId="0" fillId="30" borderId="0" xfId="0" applyFill="1"/>
    <xf numFmtId="0" fontId="45" fillId="30" borderId="0" xfId="0" applyFont="1" applyFill="1"/>
    <xf numFmtId="170" fontId="52" fillId="30" borderId="0" xfId="0" applyNumberFormat="1" applyFont="1" applyFill="1"/>
    <xf numFmtId="0" fontId="44" fillId="30" borderId="0" xfId="0" applyFont="1" applyFill="1"/>
    <xf numFmtId="170" fontId="32" fillId="30" borderId="0" xfId="0" applyNumberFormat="1" applyFont="1" applyFill="1"/>
    <xf numFmtId="164" fontId="0" fillId="30" borderId="0" xfId="0" applyNumberFormat="1" applyFill="1"/>
    <xf numFmtId="164" fontId="5" fillId="30" borderId="0" xfId="0" applyNumberFormat="1" applyFont="1" applyFill="1"/>
    <xf numFmtId="0" fontId="5" fillId="30" borderId="0" xfId="0" applyFont="1" applyFill="1"/>
    <xf numFmtId="3" fontId="0" fillId="0" borderId="0" xfId="0" applyNumberFormat="1"/>
    <xf numFmtId="1" fontId="44" fillId="0" borderId="0" xfId="0" applyNumberFormat="1" applyFont="1" applyFill="1"/>
    <xf numFmtId="170" fontId="0" fillId="0" borderId="6" xfId="0" applyNumberFormat="1" applyBorder="1"/>
    <xf numFmtId="1" fontId="0" fillId="0" borderId="0" xfId="0" applyNumberFormat="1" applyFill="1"/>
    <xf numFmtId="0" fontId="44" fillId="0" borderId="0" xfId="0" applyFont="1" applyFill="1" applyBorder="1"/>
    <xf numFmtId="0" fontId="3" fillId="0" borderId="6" xfId="41" applyBorder="1" applyAlignment="1" applyProtection="1">
      <alignment horizontal="center"/>
    </xf>
    <xf numFmtId="0" fontId="53" fillId="0" borderId="0" xfId="0" applyFont="1"/>
    <xf numFmtId="0" fontId="0" fillId="0" borderId="6" xfId="0" applyBorder="1" applyAlignment="1">
      <alignment horizontal="left" indent="2"/>
    </xf>
    <xf numFmtId="0" fontId="0" fillId="0" borderId="6" xfId="0" applyFill="1" applyBorder="1"/>
    <xf numFmtId="0" fontId="42" fillId="0" borderId="6" xfId="0" applyFont="1" applyBorder="1"/>
    <xf numFmtId="10" fontId="1" fillId="0" borderId="0" xfId="0" applyNumberFormat="1" applyFont="1"/>
    <xf numFmtId="1" fontId="45" fillId="0" borderId="0" xfId="0" applyNumberFormat="1" applyFont="1" applyFill="1" applyBorder="1" applyAlignment="1">
      <alignment horizontal="left"/>
    </xf>
    <xf numFmtId="1" fontId="45" fillId="0" borderId="0" xfId="0" applyNumberFormat="1" applyFont="1" applyFill="1"/>
    <xf numFmtId="1" fontId="45" fillId="30" borderId="0" xfId="0" applyNumberFormat="1" applyFont="1" applyFill="1"/>
    <xf numFmtId="1" fontId="45" fillId="0" borderId="0" xfId="0" applyNumberFormat="1" applyFont="1"/>
    <xf numFmtId="168" fontId="45" fillId="0" borderId="0" xfId="0" applyNumberFormat="1" applyFont="1" applyBorder="1"/>
    <xf numFmtId="168" fontId="45" fillId="0" borderId="0" xfId="0" applyNumberFormat="1" applyFont="1"/>
    <xf numFmtId="168" fontId="48" fillId="0" borderId="0" xfId="0" applyNumberFormat="1" applyFont="1"/>
    <xf numFmtId="0" fontId="44" fillId="26" borderId="0" xfId="0" applyFont="1" applyFill="1" applyAlignment="1">
      <alignment horizontal="center"/>
    </xf>
    <xf numFmtId="0" fontId="4" fillId="26" borderId="0" xfId="0" applyFont="1" applyFill="1"/>
    <xf numFmtId="0" fontId="6" fillId="26" borderId="0" xfId="0" applyFont="1" applyFill="1"/>
    <xf numFmtId="3" fontId="44" fillId="30" borderId="0" xfId="0" applyNumberFormat="1" applyFont="1" applyFill="1"/>
    <xf numFmtId="0" fontId="0" fillId="0" borderId="6" xfId="0" applyFill="1" applyBorder="1" applyAlignment="1">
      <alignment horizontal="left"/>
    </xf>
    <xf numFmtId="3" fontId="0" fillId="0" borderId="6" xfId="0" applyNumberFormat="1" applyBorder="1"/>
    <xf numFmtId="172" fontId="44" fillId="0" borderId="0" xfId="0" applyNumberFormat="1" applyFont="1" applyBorder="1"/>
    <xf numFmtId="170" fontId="52" fillId="0" borderId="0" xfId="0" applyNumberFormat="1" applyFont="1" applyFill="1"/>
    <xf numFmtId="0" fontId="56" fillId="0" borderId="0" xfId="0" applyFont="1" applyFill="1"/>
    <xf numFmtId="0" fontId="57" fillId="0" borderId="0" xfId="0" applyFont="1" applyFill="1" applyBorder="1" applyAlignment="1">
      <alignment horizontal="left"/>
    </xf>
    <xf numFmtId="170" fontId="57" fillId="0" borderId="0" xfId="0" applyNumberFormat="1" applyFont="1" applyBorder="1"/>
    <xf numFmtId="0" fontId="56" fillId="0" borderId="0" xfId="0" applyFont="1"/>
    <xf numFmtId="0" fontId="58" fillId="0" borderId="0" xfId="0" applyFont="1" applyFill="1"/>
    <xf numFmtId="170" fontId="58" fillId="0" borderId="0" xfId="0" applyNumberFormat="1" applyFont="1" applyFill="1"/>
    <xf numFmtId="0" fontId="58" fillId="0" borderId="0" xfId="0" applyFont="1"/>
    <xf numFmtId="0" fontId="58" fillId="0" borderId="0" xfId="0" applyFont="1" applyBorder="1"/>
    <xf numFmtId="0" fontId="58" fillId="0" borderId="0" xfId="0" applyFont="1" applyFill="1" applyBorder="1" applyAlignment="1">
      <alignment horizontal="left"/>
    </xf>
    <xf numFmtId="0" fontId="58" fillId="30" borderId="0" xfId="0" applyFont="1" applyFill="1"/>
    <xf numFmtId="170" fontId="58" fillId="0" borderId="0" xfId="0" applyNumberFormat="1" applyFont="1" applyBorder="1"/>
    <xf numFmtId="9" fontId="58" fillId="30" borderId="0" xfId="0" applyNumberFormat="1" applyFont="1" applyFill="1"/>
    <xf numFmtId="4" fontId="58" fillId="30" borderId="0" xfId="0" applyNumberFormat="1" applyFont="1" applyFill="1"/>
    <xf numFmtId="170" fontId="56" fillId="30" borderId="0" xfId="0" applyNumberFormat="1" applyFont="1" applyFill="1"/>
    <xf numFmtId="3" fontId="58" fillId="0" borderId="0" xfId="0" applyNumberFormat="1" applyFont="1" applyFill="1" applyBorder="1"/>
    <xf numFmtId="0" fontId="58" fillId="0" borderId="0" xfId="0" applyFont="1" applyFill="1" applyBorder="1" applyAlignment="1">
      <alignment horizontal="right"/>
    </xf>
    <xf numFmtId="0" fontId="58" fillId="0" borderId="0" xfId="0" applyFont="1" applyFill="1" applyBorder="1"/>
    <xf numFmtId="170" fontId="59" fillId="30" borderId="0" xfId="0" applyNumberFormat="1" applyFont="1" applyFill="1"/>
    <xf numFmtId="170" fontId="59" fillId="0" borderId="0" xfId="0" applyNumberFormat="1" applyFont="1" applyFill="1"/>
    <xf numFmtId="164" fontId="58" fillId="0" borderId="0" xfId="29" applyNumberFormat="1" applyFont="1" applyFill="1" applyBorder="1"/>
    <xf numFmtId="164" fontId="58" fillId="0" borderId="0" xfId="29" applyNumberFormat="1" applyFont="1" applyFill="1"/>
    <xf numFmtId="9" fontId="58" fillId="0" borderId="0" xfId="0" applyNumberFormat="1" applyFont="1" applyBorder="1"/>
    <xf numFmtId="0" fontId="4" fillId="0" borderId="0" xfId="0" applyFont="1" applyFill="1" applyAlignment="1">
      <alignment horizontal="center"/>
    </xf>
    <xf numFmtId="0" fontId="54" fillId="0" borderId="0" xfId="0" applyFont="1" applyFill="1" applyAlignment="1">
      <alignment horizontal="right"/>
    </xf>
    <xf numFmtId="0" fontId="44" fillId="0" borderId="0" xfId="0" applyFont="1" applyFill="1" applyAlignment="1">
      <alignment horizontal="right"/>
    </xf>
    <xf numFmtId="0" fontId="44" fillId="0" borderId="0" xfId="0" applyFont="1" applyFill="1" applyAlignment="1">
      <alignment horizontal="center"/>
    </xf>
    <xf numFmtId="0" fontId="53" fillId="0" borderId="0" xfId="0" applyFont="1" applyFill="1"/>
    <xf numFmtId="0" fontId="55" fillId="0" borderId="0" xfId="0" applyFont="1" applyFill="1"/>
    <xf numFmtId="0" fontId="6" fillId="26" borderId="0" xfId="0" applyFont="1" applyFill="1" applyAlignment="1">
      <alignment horizontal="left"/>
    </xf>
    <xf numFmtId="2" fontId="0" fillId="0" borderId="0" xfId="0" applyNumberFormat="1"/>
    <xf numFmtId="179" fontId="0" fillId="0" borderId="0" xfId="69" applyNumberFormat="1" applyFont="1"/>
    <xf numFmtId="0" fontId="0" fillId="0" borderId="0" xfId="0" applyFill="1" applyAlignment="1">
      <alignment horizontal="right"/>
    </xf>
    <xf numFmtId="0" fontId="6" fillId="31" borderId="6" xfId="0" applyFont="1" applyFill="1" applyBorder="1"/>
    <xf numFmtId="0" fontId="0" fillId="31" borderId="6" xfId="0" applyFill="1" applyBorder="1"/>
    <xf numFmtId="0" fontId="4" fillId="0" borderId="6" xfId="0" applyFont="1" applyBorder="1"/>
    <xf numFmtId="1" fontId="0" fillId="0" borderId="0" xfId="0" applyNumberFormat="1" applyFill="1" applyAlignment="1">
      <alignment horizontal="right"/>
    </xf>
    <xf numFmtId="10" fontId="0" fillId="0" borderId="0" xfId="70" applyNumberFormat="1" applyFont="1"/>
    <xf numFmtId="44" fontId="0" fillId="0" borderId="0" xfId="69" applyFont="1"/>
    <xf numFmtId="0" fontId="4" fillId="0" borderId="0" xfId="0" applyFont="1" applyFill="1" applyBorder="1"/>
    <xf numFmtId="0" fontId="0" fillId="0" borderId="0" xfId="0" applyFill="1" applyBorder="1"/>
    <xf numFmtId="0" fontId="4" fillId="0" borderId="15" xfId="0" applyFont="1" applyBorder="1"/>
    <xf numFmtId="0" fontId="0" fillId="31" borderId="15" xfId="0" applyFill="1" applyBorder="1"/>
    <xf numFmtId="0" fontId="4" fillId="0" borderId="19" xfId="0" applyFont="1" applyFill="1" applyBorder="1"/>
    <xf numFmtId="0" fontId="0" fillId="0" borderId="19" xfId="0" applyFill="1" applyBorder="1"/>
    <xf numFmtId="0" fontId="6" fillId="0" borderId="0" xfId="0" applyFont="1" applyAlignment="1">
      <alignment horizontal="left" indent="1"/>
    </xf>
    <xf numFmtId="0" fontId="0" fillId="0" borderId="0" xfId="0" applyAlignment="1">
      <alignment horizontal="left" indent="1"/>
    </xf>
    <xf numFmtId="165" fontId="6" fillId="0" borderId="0" xfId="0" applyNumberFormat="1" applyFont="1" applyProtection="1"/>
    <xf numFmtId="169" fontId="6" fillId="0" borderId="0" xfId="0" applyNumberFormat="1" applyFont="1"/>
    <xf numFmtId="166" fontId="6" fillId="0" borderId="0" xfId="0" applyNumberFormat="1" applyFont="1"/>
    <xf numFmtId="0" fontId="61" fillId="0" borderId="0" xfId="0" applyFont="1"/>
    <xf numFmtId="166" fontId="61" fillId="0" borderId="0" xfId="0" applyNumberFormat="1" applyFont="1"/>
    <xf numFmtId="0" fontId="6" fillId="0" borderId="0" xfId="0" applyFont="1" applyAlignment="1">
      <alignment horizontal="center"/>
    </xf>
    <xf numFmtId="0" fontId="0" fillId="31" borderId="0" xfId="0" applyFill="1" applyAlignment="1">
      <alignment horizontal="center"/>
    </xf>
    <xf numFmtId="0" fontId="6" fillId="31" borderId="0" xfId="0" applyFont="1" applyFill="1" applyAlignment="1">
      <alignment horizontal="center"/>
    </xf>
    <xf numFmtId="0" fontId="6" fillId="31" borderId="0" xfId="0" applyFont="1" applyFill="1"/>
    <xf numFmtId="0" fontId="0" fillId="31" borderId="0" xfId="0" applyFill="1"/>
    <xf numFmtId="0" fontId="1" fillId="31" borderId="0" xfId="0" applyFont="1" applyFill="1"/>
    <xf numFmtId="8" fontId="0" fillId="31" borderId="0" xfId="0" applyNumberFormat="1" applyFill="1"/>
    <xf numFmtId="8" fontId="1" fillId="31" borderId="0" xfId="0" applyNumberFormat="1" applyFont="1" applyFill="1"/>
    <xf numFmtId="9" fontId="1" fillId="31" borderId="0" xfId="0" applyNumberFormat="1" applyFont="1" applyFill="1"/>
    <xf numFmtId="10" fontId="0" fillId="0" borderId="0" xfId="0" applyNumberFormat="1"/>
    <xf numFmtId="9" fontId="0" fillId="31" borderId="0" xfId="0" applyNumberFormat="1" applyFill="1"/>
    <xf numFmtId="0" fontId="0" fillId="31" borderId="0" xfId="0" applyFill="1" applyAlignment="1">
      <alignment horizontal="left" indent="1"/>
    </xf>
    <xf numFmtId="168" fontId="1" fillId="31" borderId="0" xfId="0" applyNumberFormat="1" applyFont="1" applyFill="1"/>
    <xf numFmtId="2" fontId="45" fillId="0" borderId="0" xfId="29" applyNumberFormat="1" applyFont="1" applyFill="1" applyBorder="1"/>
    <xf numFmtId="9" fontId="0" fillId="0" borderId="6" xfId="0" applyNumberFormat="1" applyBorder="1"/>
    <xf numFmtId="0" fontId="4" fillId="32" borderId="6" xfId="0" applyFont="1" applyFill="1" applyBorder="1"/>
    <xf numFmtId="170" fontId="4" fillId="32" borderId="6" xfId="0" applyNumberFormat="1" applyFont="1" applyFill="1" applyBorder="1"/>
    <xf numFmtId="0" fontId="6" fillId="0" borderId="6" xfId="0" applyFont="1" applyBorder="1" applyAlignment="1">
      <alignment horizontal="left" indent="1"/>
    </xf>
    <xf numFmtId="170" fontId="0" fillId="0" borderId="6" xfId="69" applyNumberFormat="1" applyFont="1" applyBorder="1"/>
    <xf numFmtId="170" fontId="0" fillId="0" borderId="6" xfId="0" applyNumberFormat="1" applyBorder="1" applyAlignment="1">
      <alignment horizontal="right"/>
    </xf>
    <xf numFmtId="2" fontId="0" fillId="0" borderId="6" xfId="0" applyNumberFormat="1" applyBorder="1" applyAlignment="1">
      <alignment horizontal="center"/>
    </xf>
    <xf numFmtId="10" fontId="53" fillId="0" borderId="0" xfId="0" applyNumberFormat="1" applyFont="1"/>
    <xf numFmtId="3" fontId="53" fillId="0" borderId="0" xfId="0" applyNumberFormat="1" applyFont="1"/>
    <xf numFmtId="9" fontId="0" fillId="0" borderId="6" xfId="0" applyNumberFormat="1" applyBorder="1" applyAlignment="1">
      <alignment horizontal="center" vertical="center"/>
    </xf>
    <xf numFmtId="0" fontId="60" fillId="31" borderId="17" xfId="0" applyFont="1" applyFill="1" applyBorder="1" applyAlignment="1">
      <alignment horizontal="center"/>
    </xf>
    <xf numFmtId="0" fontId="60" fillId="31" borderId="18" xfId="0" applyFont="1" applyFill="1" applyBorder="1" applyAlignment="1">
      <alignment horizontal="center"/>
    </xf>
    <xf numFmtId="0" fontId="60" fillId="31" borderId="16" xfId="0" applyFont="1" applyFill="1" applyBorder="1" applyAlignment="1">
      <alignment horizontal="center"/>
    </xf>
    <xf numFmtId="0" fontId="60" fillId="0" borderId="6" xfId="0" applyFont="1" applyBorder="1" applyAlignment="1">
      <alignment horizontal="center"/>
    </xf>
  </cellXfs>
  <cellStyles count="7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rial 11" xfId="25"/>
    <cellStyle name="Bad" xfId="26" builtinId="27" customBuiltin="1"/>
    <cellStyle name="Calculation" xfId="27" builtinId="22" customBuiltin="1"/>
    <cellStyle name="Check Cell" xfId="28" builtinId="23" customBuiltin="1"/>
    <cellStyle name="Comma" xfId="29" builtinId="3"/>
    <cellStyle name="Comma." xfId="30"/>
    <cellStyle name="Currency" xfId="69" builtinId="4"/>
    <cellStyle name="Currency." xfId="31"/>
    <cellStyle name="Currency.00" xfId="32"/>
    <cellStyle name="Euro" xfId="33"/>
    <cellStyle name="Explanatory Text" xfId="34" builtinId="53" customBuiltin="1"/>
    <cellStyle name="Good" xfId="35" builtinId="26" customBuiltin="1"/>
    <cellStyle name="Grey" xfId="36"/>
    <cellStyle name="Heading 1" xfId="37" builtinId="16" customBuiltin="1"/>
    <cellStyle name="Heading 2" xfId="38" builtinId="17" customBuiltin="1"/>
    <cellStyle name="Heading 3" xfId="39" builtinId="18" customBuiltin="1"/>
    <cellStyle name="Heading 4" xfId="40" builtinId="19" customBuiltin="1"/>
    <cellStyle name="Hyperlink" xfId="41" builtinId="8"/>
    <cellStyle name="Input" xfId="42" builtinId="20" customBuiltin="1"/>
    <cellStyle name="Input [yellow]" xfId="43"/>
    <cellStyle name="Linked Cell" xfId="44" builtinId="24" customBuiltin="1"/>
    <cellStyle name="Millares [0]_laroux" xfId="45"/>
    <cellStyle name="Millares_laroux" xfId="46"/>
    <cellStyle name="Moneda [0]_laroux" xfId="47"/>
    <cellStyle name="Moneda_laroux" xfId="48"/>
    <cellStyle name="Neutral" xfId="49" builtinId="28" customBuiltin="1"/>
    <cellStyle name="no dec" xfId="50"/>
    <cellStyle name="Normal" xfId="0" builtinId="0"/>
    <cellStyle name="Normal - Style1" xfId="51"/>
    <cellStyle name="Note" xfId="52" builtinId="10" customBuiltin="1"/>
    <cellStyle name="Œ…‹æØ‚è [0.00]_PRODUCT DETAIL Q1" xfId="53"/>
    <cellStyle name="Œ…‹æØ‚è_PRODUCT DETAIL Q1" xfId="54"/>
    <cellStyle name="Output" xfId="55" builtinId="21" customBuiltin="1"/>
    <cellStyle name="Percent" xfId="70" builtinId="5"/>
    <cellStyle name="Percent [2]" xfId="56"/>
    <cellStyle name="Percent.00" xfId="57"/>
    <cellStyle name="producto" xfId="58"/>
    <cellStyle name="RISKbottomEdge" xfId="59"/>
    <cellStyle name="RISKleftEdge" xfId="60"/>
    <cellStyle name="RISKnormBoxed" xfId="61"/>
    <cellStyle name="RISKnormHeading" xfId="62"/>
    <cellStyle name="RISKnormLabel" xfId="63"/>
    <cellStyle name="RISKnormTitle" xfId="64"/>
    <cellStyle name="RISKtopEdge" xfId="65"/>
    <cellStyle name="Title" xfId="66" builtinId="15" customBuiltin="1"/>
    <cellStyle name="Total" xfId="67" builtinId="25" customBuiltin="1"/>
    <cellStyle name="Warning Text" xfId="6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chartsheet" Target="chartsheets/sheet1.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5" Type="http://schemas.openxmlformats.org/officeDocument/2006/relationships/worksheet" Target="worksheets/sheet4.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42730299667039"/>
          <c:y val="3.4257748776509077E-2"/>
          <c:w val="0.71032186459489743"/>
          <c:h val="0.93148450244698211"/>
        </c:manualLayout>
      </c:layout>
      <c:barChart>
        <c:barDir val="col"/>
        <c:grouping val="clustered"/>
        <c:varyColors val="0"/>
        <c:ser>
          <c:idx val="0"/>
          <c:order val="0"/>
          <c:tx>
            <c:strRef>
              <c:f>'Bike Sharing CBA'!$A$45:$D$45</c:f>
              <c:strCache>
                <c:ptCount val="1"/>
                <c:pt idx="0">
                  <c:v>COSTS TOTAL COSTS, per year</c:v>
                </c:pt>
              </c:strCache>
            </c:strRef>
          </c:tx>
          <c:spPr>
            <a:solidFill>
              <a:srgbClr val="9999FF"/>
            </a:solidFill>
            <a:ln w="12700">
              <a:solidFill>
                <a:srgbClr val="000000"/>
              </a:solidFill>
              <a:prstDash val="solid"/>
            </a:ln>
          </c:spPr>
          <c:invertIfNegative val="0"/>
          <c:dLbls>
            <c:numFmt formatCode="#,##0" sourceLinked="0"/>
            <c:spPr>
              <a:noFill/>
              <a:ln w="25400">
                <a:noFill/>
              </a:ln>
            </c:spPr>
            <c:txPr>
              <a:bodyPr rot="4500000" vert="horz"/>
              <a:lstStyle/>
              <a:p>
                <a:pPr algn="ctr">
                  <a:defRPr sz="8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dLbls>
          <c:cat>
            <c:numRef>
              <c:f>'Bike Sharing CBA'!$G$1:$Y$1</c:f>
              <c:numCache>
                <c:formatCode>General</c:formatCode>
                <c:ptCount val="19"/>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numCache>
            </c:numRef>
          </c:cat>
          <c:val>
            <c:numRef>
              <c:f>'Bike Sharing CBA'!$G$45:$Y$45</c:f>
              <c:numCache>
                <c:formatCode>"$"#,##0</c:formatCode>
                <c:ptCount val="19"/>
                <c:pt idx="0">
                  <c:v>-29102076.846006766</c:v>
                </c:pt>
                <c:pt idx="1">
                  <c:v>-15798060.470633842</c:v>
                </c:pt>
                <c:pt idx="2">
                  <c:v>-16497887.592510246</c:v>
                </c:pt>
                <c:pt idx="3">
                  <c:v>-17229156.05586376</c:v>
                </c:pt>
                <c:pt idx="4">
                  <c:v>-17993175.321146458</c:v>
                </c:pt>
                <c:pt idx="5">
                  <c:v>-18791301.151161581</c:v>
                </c:pt>
                <c:pt idx="6">
                  <c:v>-19624936.813939068</c:v>
                </c:pt>
                <c:pt idx="7">
                  <c:v>-20495534.305861607</c:v>
                </c:pt>
                <c:pt idx="8">
                  <c:v>-21404595.59624479</c:v>
                </c:pt>
                <c:pt idx="9">
                  <c:v>-22353673.894718774</c:v>
                </c:pt>
                <c:pt idx="10">
                  <c:v>-23344374.942903481</c:v>
                </c:pt>
                <c:pt idx="11">
                  <c:v>-24378358.332014419</c:v>
                </c:pt>
                <c:pt idx="12">
                  <c:v>-25457338.8481806</c:v>
                </c:pt>
                <c:pt idx="13">
                  <c:v>-26583087.847397633</c:v>
                </c:pt>
                <c:pt idx="14">
                  <c:v>-27757434.662177689</c:v>
                </c:pt>
                <c:pt idx="15">
                  <c:v>-28982268.042091969</c:v>
                </c:pt>
                <c:pt idx="16">
                  <c:v>-30259537.630530413</c:v>
                </c:pt>
                <c:pt idx="17">
                  <c:v>-31591255.480124563</c:v>
                </c:pt>
                <c:pt idx="18">
                  <c:v>-32979497.609395023</c:v>
                </c:pt>
              </c:numCache>
            </c:numRef>
          </c:val>
        </c:ser>
        <c:ser>
          <c:idx val="1"/>
          <c:order val="1"/>
          <c:tx>
            <c:strRef>
              <c:f>'Bike Sharing CBA'!$A$134:$D$134</c:f>
              <c:strCache>
                <c:ptCount val="1"/>
                <c:pt idx="0">
                  <c:v>BENEFITS TOTAL BENEFITS, per year</c:v>
                </c:pt>
              </c:strCache>
            </c:strRef>
          </c:tx>
          <c:spPr>
            <a:solidFill>
              <a:srgbClr val="993366"/>
            </a:solidFill>
            <a:ln w="12700">
              <a:solidFill>
                <a:srgbClr val="000000"/>
              </a:solidFill>
              <a:prstDash val="solid"/>
            </a:ln>
          </c:spPr>
          <c:invertIfNegative val="0"/>
          <c:dLbls>
            <c:numFmt formatCode="0" sourceLinked="0"/>
            <c:spPr>
              <a:noFill/>
              <a:ln w="25400">
                <a:noFill/>
              </a:ln>
            </c:spPr>
            <c:txPr>
              <a:bodyPr rot="-4500000" vert="horz"/>
              <a:lstStyle/>
              <a:p>
                <a:pPr algn="ctr">
                  <a:defRPr sz="8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dLbls>
          <c:cat>
            <c:numRef>
              <c:f>'Bike Sharing CBA'!$G$1:$Y$1</c:f>
              <c:numCache>
                <c:formatCode>General</c:formatCode>
                <c:ptCount val="19"/>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numCache>
            </c:numRef>
          </c:cat>
          <c:val>
            <c:numRef>
              <c:f>'Bike Sharing CBA'!$G$134:$Y$134</c:f>
              <c:numCache>
                <c:formatCode>"$"#,##0</c:formatCode>
                <c:ptCount val="19"/>
                <c:pt idx="0">
                  <c:v>20482875.95694204</c:v>
                </c:pt>
                <c:pt idx="1">
                  <c:v>22176979.676139612</c:v>
                </c:pt>
                <c:pt idx="2">
                  <c:v>23968520.126724057</c:v>
                </c:pt>
                <c:pt idx="3">
                  <c:v>25899751.179791514</c:v>
                </c:pt>
                <c:pt idx="4">
                  <c:v>27981458.258623589</c:v>
                </c:pt>
                <c:pt idx="5">
                  <c:v>30225035.388117429</c:v>
                </c:pt>
                <c:pt idx="6">
                  <c:v>32642831.94678463</c:v>
                </c:pt>
                <c:pt idx="7">
                  <c:v>35248125.851119377</c:v>
                </c:pt>
                <c:pt idx="8">
                  <c:v>38055192.356768027</c:v>
                </c:pt>
                <c:pt idx="9">
                  <c:v>41166651.852566265</c:v>
                </c:pt>
                <c:pt idx="10">
                  <c:v>44525934.974687129</c:v>
                </c:pt>
                <c:pt idx="11">
                  <c:v>48152534.131431311</c:v>
                </c:pt>
                <c:pt idx="12">
                  <c:v>52067463.046612896</c:v>
                </c:pt>
                <c:pt idx="13">
                  <c:v>56293374.898685209</c:v>
                </c:pt>
                <c:pt idx="14">
                  <c:v>60854435.992258199</c:v>
                </c:pt>
                <c:pt idx="15">
                  <c:v>65777175.010828823</c:v>
                </c:pt>
                <c:pt idx="16">
                  <c:v>71089960.363979325</c:v>
                </c:pt>
                <c:pt idx="17">
                  <c:v>76823370.222609445</c:v>
                </c:pt>
                <c:pt idx="18">
                  <c:v>83010363.770947814</c:v>
                </c:pt>
              </c:numCache>
            </c:numRef>
          </c:val>
        </c:ser>
        <c:dLbls>
          <c:showLegendKey val="0"/>
          <c:showVal val="1"/>
          <c:showCatName val="0"/>
          <c:showSerName val="0"/>
          <c:showPercent val="0"/>
          <c:showBubbleSize val="0"/>
        </c:dLbls>
        <c:gapWidth val="150"/>
        <c:axId val="109875968"/>
        <c:axId val="109877504"/>
      </c:barChart>
      <c:catAx>
        <c:axId val="10987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109877504"/>
        <c:crosses val="autoZero"/>
        <c:auto val="1"/>
        <c:lblAlgn val="ctr"/>
        <c:lblOffset val="100"/>
        <c:tickLblSkip val="1"/>
        <c:tickMarkSkip val="1"/>
        <c:noMultiLvlLbl val="0"/>
      </c:catAx>
      <c:valAx>
        <c:axId val="109877504"/>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09875968"/>
        <c:crosses val="autoZero"/>
        <c:crossBetween val="between"/>
      </c:valAx>
      <c:spPr>
        <a:noFill/>
        <a:ln w="25400">
          <a:noFill/>
        </a:ln>
      </c:spPr>
    </c:plotArea>
    <c:legend>
      <c:legendPos val="r"/>
      <c:layout>
        <c:manualLayout>
          <c:xMode val="edge"/>
          <c:yMode val="edge"/>
          <c:x val="0.84239733629300984"/>
          <c:y val="0.46492659053833607"/>
          <c:w val="0.15205327413984471"/>
          <c:h val="0.1451876019575856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534407027818447"/>
          <c:y val="3.367875647668400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7.0278184480234263E-2"/>
          <c:y val="0.16580310880829024"/>
          <c:w val="0.64421669106881463"/>
          <c:h val="0.71761658031088082"/>
        </c:manualLayout>
      </c:layout>
      <c:barChart>
        <c:barDir val="col"/>
        <c:grouping val="clustered"/>
        <c:varyColors val="0"/>
        <c:ser>
          <c:idx val="0"/>
          <c:order val="0"/>
          <c:tx>
            <c:strRef>
              <c:f>'Bike Crash Data'!$A$15</c:f>
              <c:strCache>
                <c:ptCount val="1"/>
                <c:pt idx="0">
                  <c:v>Total Casualties</c:v>
                </c:pt>
              </c:strCache>
            </c:strRef>
          </c:tx>
          <c:spPr>
            <a:solidFill>
              <a:srgbClr val="9999FF"/>
            </a:solidFill>
            <a:ln w="12700">
              <a:solidFill>
                <a:srgbClr val="000000"/>
              </a:solidFill>
              <a:prstDash val="solid"/>
            </a:ln>
          </c:spPr>
          <c:invertIfNegative val="0"/>
          <c:trendline>
            <c:spPr>
              <a:ln w="25400">
                <a:solidFill>
                  <a:srgbClr val="000000"/>
                </a:solidFill>
                <a:prstDash val="solid"/>
              </a:ln>
            </c:spPr>
            <c:trendlineType val="linear"/>
            <c:dispRSqr val="0"/>
            <c:dispEq val="1"/>
            <c:trendlineLbl>
              <c:numFmt formatCode="General"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trendlineLbl>
          </c:trendline>
          <c:val>
            <c:numRef>
              <c:f>'Bike Crash Data'!$K$15:$O$15</c:f>
              <c:numCache>
                <c:formatCode>General</c:formatCode>
                <c:ptCount val="5"/>
                <c:pt idx="0">
                  <c:v>430</c:v>
                </c:pt>
                <c:pt idx="1">
                  <c:v>523</c:v>
                </c:pt>
                <c:pt idx="2">
                  <c:v>451</c:v>
                </c:pt>
                <c:pt idx="3">
                  <c:v>520</c:v>
                </c:pt>
                <c:pt idx="4">
                  <c:v>502</c:v>
                </c:pt>
              </c:numCache>
            </c:numRef>
          </c:val>
        </c:ser>
        <c:dLbls>
          <c:showLegendKey val="0"/>
          <c:showVal val="0"/>
          <c:showCatName val="0"/>
          <c:showSerName val="0"/>
          <c:showPercent val="0"/>
          <c:showBubbleSize val="0"/>
        </c:dLbls>
        <c:gapWidth val="150"/>
        <c:axId val="111180800"/>
        <c:axId val="111284992"/>
      </c:barChart>
      <c:catAx>
        <c:axId val="11118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284992"/>
        <c:crosses val="autoZero"/>
        <c:auto val="1"/>
        <c:lblAlgn val="ctr"/>
        <c:lblOffset val="100"/>
        <c:tickLblSkip val="1"/>
        <c:tickMarkSkip val="1"/>
        <c:noMultiLvlLbl val="0"/>
      </c:catAx>
      <c:valAx>
        <c:axId val="1112849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180800"/>
        <c:crosses val="autoZero"/>
        <c:crossBetween val="between"/>
      </c:valAx>
      <c:spPr>
        <a:solidFill>
          <a:srgbClr val="C0C0C0"/>
        </a:solidFill>
        <a:ln w="12700">
          <a:solidFill>
            <a:srgbClr val="808080"/>
          </a:solidFill>
          <a:prstDash val="solid"/>
        </a:ln>
      </c:spPr>
    </c:plotArea>
    <c:legend>
      <c:legendPos val="r"/>
      <c:layout>
        <c:manualLayout>
          <c:xMode val="edge"/>
          <c:yMode val="edge"/>
          <c:x val="0.7306002928257701"/>
          <c:y val="0.46891191709844687"/>
          <c:w val="0.25768667642752568"/>
          <c:h val="0.11139896373056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tabColor indexed="48"/>
  </sheetPr>
  <sheetViews>
    <sheetView zoomScale="128"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266700</xdr:colOff>
      <xdr:row>60</xdr:row>
      <xdr:rowOff>95250</xdr:rowOff>
    </xdr:from>
    <xdr:to>
      <xdr:col>12</xdr:col>
      <xdr:colOff>66675</xdr:colOff>
      <xdr:row>83</xdr:row>
      <xdr:rowOff>47625</xdr:rowOff>
    </xdr:to>
    <xdr:graphicFrame macro="">
      <xdr:nvGraphicFramePr>
        <xdr:cNvPr id="20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TEMP\My%20Documents\ESTIMATES\SPRING%20CREEK\MAIN%20EST%20SC\SC%20SUMMARY2-6-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2175184\206%20Prelim%20Design\206.1%20Prelim%20Design\Motor%20List\mastermotorli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spe-srv1\projects\6900\6967.NYDEP%20UV%20CAT-DEL%20CRA\Final%20Files\Superseded\DEL-185%20-OCT%2017%202005%20rev%20mph%20'unseen'%20increas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spe-srv1\projects\6900\6950.WSDOT%20CEVP\Final%20Model%20and%20Report\Documents%20and%20Settings\sgros\Desktop\ALASKA%20Network%20Folder\ALASKA%20DRAFT%20MODEL%20FI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spe-srv1\projects\Documents%20and%20Settings\sj8.PORTSEATTLE\Local%20Settings\Temporary%20Internet%20Files\OLK127\11104%20Port%20of%20Seattle\11104%20SeaTac%20IFC%20rev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My%20Documents\MPWardsisland\Grit%20Chambers%2060%25\My%20Documents\ESTIMATES\SPRING%20CREEK\MAIN%20EST%20SC\SC%20SUMMARY2-6-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RCFile\Office\CRC\CRC%20Workpaper%20Files\8.0%20Highway%20Planning%20and%20Engineering\TASK%20AD\8.0%20%20Highway%20Planning%20and%20Engineering\8.9%20%20Cost%20Estimating\Estimate\Quantities\Quantities%20-%20Highway-Mainline-D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spe-srv1\projects\6900\6950.WSDOT%20CEVP\Final%20Model%20and%20Report\WSDOT%20Risk%20Analysis%20Model_FINAL_REVIS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cenario%20Study%20Task%20Force/Stimulus/TIGER%20II/Project%20Submissions/July%201%20submissions/arlington%20MASTER%20TAB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cenario%20Study%20Task%20Force/CO2_scenario/Calculations/FINALcalcs_WW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pe-srv1\projects\DOCUME~1\hhabouss\LOCALS~1\Temp\Rar$DI00.110\HERS%20Consumption%20Equations_Constant%20&amp;%20Excess_OCT%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habouss/My%20Documents/wcog/SR704%20MODEL%20DRAFT%20FINAL%20updates%203%2029%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Paul/LOCALS~1/Temp/Omaha%20Beltway%20CBA%20Model_v13_sr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spe-srv1\projects\Documents%20and%20Settings\MSF\My%20Documents\00Millest\HGI_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spe-srv1\projects\6900\6982.CRC%20I-5%20CEVP\FINAL\WSDOT%20I5%20Model%20Nov16%20-%20DRAFT_REVIS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spe-srv1\projects\6900\6992Port%20of%20Seattle\POS%20RCF%20Model%20Oct%2023%202006%20-%20DRAFT%20FINALupdat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Administrator\Desktop\Bob's%20Files\Newtown%20Creek\My%20Documents\ESTIMATES\SPRING%20CREEK\MAIN%20EST%20SC\SC%20SUMMARY2-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spe-srv1\projects\Documents%20and%20Settings\MSF\My%20Documents\00Millest\HGI__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G CONTRACT"/>
      <sheetName val="HVAC"/>
      <sheetName val="PLUMBING"/>
      <sheetName val="ELECTRICAL"/>
      <sheetName val="Sheet1"/>
      <sheetName val="Sheet2"/>
      <sheetName val="Sheet3"/>
    </sheetNames>
    <sheetDataSet>
      <sheetData sheetId="0" refreshError="1">
        <row r="1">
          <cell r="E1" t="str">
            <v xml:space="preserve"> </v>
          </cell>
        </row>
        <row r="2">
          <cell r="A2" t="str">
            <v>PRELIMINARY CONSTRUCTION COST ESTIMATE</v>
          </cell>
        </row>
        <row r="4">
          <cell r="A4" t="str">
            <v>CAPITAL PROJECT</v>
          </cell>
          <cell r="E4" t="str">
            <v>PLANT NAME: SPRING CREEK</v>
          </cell>
        </row>
        <row r="5">
          <cell r="A5" t="str">
            <v>WP-225</v>
          </cell>
          <cell r="E5" t="str">
            <v>PROJECT NAME: AWPCP UPGRADE</v>
          </cell>
        </row>
        <row r="6">
          <cell r="A6" t="str">
            <v>J.C. ESTIMATING, INC./JCE CO.</v>
          </cell>
          <cell r="E6" t="str">
            <v>PRELIMINARY DESIGN</v>
          </cell>
        </row>
        <row r="8">
          <cell r="A8" t="str">
            <v>ITEM</v>
          </cell>
        </row>
        <row r="9">
          <cell r="A9" t="str">
            <v>ITEM</v>
          </cell>
          <cell r="B9" t="str">
            <v>DESCRIPTION</v>
          </cell>
          <cell r="D9" t="str">
            <v>UNIT</v>
          </cell>
          <cell r="E9" t="str">
            <v>QTY</v>
          </cell>
          <cell r="F9" t="str">
            <v>UNIT</v>
          </cell>
          <cell r="G9" t="str">
            <v>AMOUNT</v>
          </cell>
        </row>
        <row r="10">
          <cell r="A10" t="str">
            <v xml:space="preserve"># </v>
          </cell>
          <cell r="B10" t="str">
            <v xml:space="preserve"> </v>
          </cell>
          <cell r="F10" t="str">
            <v>COST $</v>
          </cell>
          <cell r="G10" t="str">
            <v>$</v>
          </cell>
        </row>
      </sheetData>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RSPS"/>
      <sheetName val="North RSPS"/>
      <sheetName val="P5 Alkalinity Facility"/>
      <sheetName val="P5 Methanol Facility"/>
      <sheetName val="P5 Centrate Facility"/>
      <sheetName val="P5 PlantWide"/>
      <sheetName val="Battery E RSPS"/>
      <sheetName val="mastermotorlist"/>
      <sheetName val="Attachment No. 3"/>
      <sheetName val="#REF"/>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sheetNames>
    <sheetDataSet>
      <sheetData sheetId="0" refreshError="1">
        <row r="8">
          <cell r="D8">
            <v>1.316899791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Correlations"/>
      <sheetName val="Notes"/>
      <sheetName val="Schedule Chart"/>
      <sheetName val="Schedule"/>
      <sheetName val="Event Risks"/>
      <sheetName val="Event Opportunities"/>
      <sheetName val="Risks Mitigation"/>
      <sheetName val="Cashflow"/>
      <sheetName val="Chart Cashflow"/>
      <sheetName val="Chart Cashflow_Details"/>
      <sheetName val="Cost - Budget"/>
      <sheetName val="Cost - Overall"/>
      <sheetName val="@RISK Stats"/>
      <sheetName val="Chart Cost"/>
      <sheetName val="Chart Schedule"/>
      <sheetName val="@RISK Tornado"/>
      <sheetName val="Chart Cost North 2"/>
      <sheetName val="Chart Cost Blair Lakes Spur"/>
      <sheetName val="Chart Cost South 1"/>
      <sheetName val="Budget - Backup 08-10-05"/>
      <sheetName val="Risk Table 08-08-05"/>
      <sheetName val="Distributions"/>
    </sheetNames>
    <sheetDataSet>
      <sheetData sheetId="0" refreshError="1">
        <row r="1">
          <cell r="A1" t="str">
            <v>@RISK Correlation Sheet</v>
          </cell>
        </row>
        <row r="5">
          <cell r="C5">
            <v>1</v>
          </cell>
        </row>
        <row r="6">
          <cell r="C6">
            <v>0</v>
          </cell>
          <cell r="D6">
            <v>1</v>
          </cell>
        </row>
        <row r="7">
          <cell r="C7">
            <v>0</v>
          </cell>
          <cell r="D7">
            <v>0</v>
          </cell>
          <cell r="E7">
            <v>1</v>
          </cell>
        </row>
        <row r="8">
          <cell r="C8">
            <v>0</v>
          </cell>
          <cell r="D8">
            <v>0</v>
          </cell>
          <cell r="E8">
            <v>0</v>
          </cell>
          <cell r="F8">
            <v>1</v>
          </cell>
        </row>
        <row r="9">
          <cell r="C9">
            <v>0</v>
          </cell>
          <cell r="D9">
            <v>0</v>
          </cell>
          <cell r="E9">
            <v>0</v>
          </cell>
          <cell r="F9">
            <v>0</v>
          </cell>
          <cell r="G9">
            <v>1</v>
          </cell>
        </row>
        <row r="10">
          <cell r="C10">
            <v>0</v>
          </cell>
          <cell r="D10">
            <v>0</v>
          </cell>
          <cell r="E10">
            <v>0</v>
          </cell>
          <cell r="F10">
            <v>0</v>
          </cell>
          <cell r="G10">
            <v>0</v>
          </cell>
          <cell r="H10">
            <v>1</v>
          </cell>
        </row>
        <row r="11">
          <cell r="C11">
            <v>1</v>
          </cell>
          <cell r="D11">
            <v>0</v>
          </cell>
          <cell r="E11">
            <v>0</v>
          </cell>
          <cell r="F11">
            <v>0</v>
          </cell>
          <cell r="G11">
            <v>0</v>
          </cell>
          <cell r="H11">
            <v>0</v>
          </cell>
          <cell r="I11">
            <v>1</v>
          </cell>
        </row>
        <row r="12">
          <cell r="C12">
            <v>0</v>
          </cell>
          <cell r="D12">
            <v>1</v>
          </cell>
          <cell r="E12">
            <v>0</v>
          </cell>
          <cell r="F12">
            <v>0</v>
          </cell>
          <cell r="G12">
            <v>0</v>
          </cell>
          <cell r="H12">
            <v>0</v>
          </cell>
          <cell r="I12">
            <v>0</v>
          </cell>
          <cell r="J12">
            <v>1</v>
          </cell>
        </row>
        <row r="13">
          <cell r="C13">
            <v>0</v>
          </cell>
          <cell r="D13">
            <v>0</v>
          </cell>
          <cell r="E13">
            <v>1</v>
          </cell>
          <cell r="F13">
            <v>0</v>
          </cell>
          <cell r="G13">
            <v>0</v>
          </cell>
          <cell r="H13">
            <v>0</v>
          </cell>
          <cell r="I13">
            <v>0</v>
          </cell>
          <cell r="J13">
            <v>0</v>
          </cell>
          <cell r="K13">
            <v>1</v>
          </cell>
        </row>
        <row r="14">
          <cell r="C14">
            <v>0</v>
          </cell>
          <cell r="D14">
            <v>0</v>
          </cell>
          <cell r="E14">
            <v>0</v>
          </cell>
          <cell r="F14">
            <v>1</v>
          </cell>
          <cell r="G14">
            <v>0</v>
          </cell>
          <cell r="H14">
            <v>0</v>
          </cell>
          <cell r="I14">
            <v>0</v>
          </cell>
          <cell r="J14">
            <v>0</v>
          </cell>
          <cell r="K14">
            <v>0</v>
          </cell>
          <cell r="L14">
            <v>1</v>
          </cell>
        </row>
        <row r="15">
          <cell r="C15">
            <v>0</v>
          </cell>
          <cell r="D15">
            <v>0</v>
          </cell>
          <cell r="E15">
            <v>0</v>
          </cell>
          <cell r="F15">
            <v>0</v>
          </cell>
          <cell r="G15">
            <v>1</v>
          </cell>
          <cell r="H15">
            <v>0</v>
          </cell>
          <cell r="I15">
            <v>0</v>
          </cell>
          <cell r="J15">
            <v>0</v>
          </cell>
          <cell r="K15">
            <v>0</v>
          </cell>
          <cell r="L15">
            <v>0</v>
          </cell>
          <cell r="M15">
            <v>1</v>
          </cell>
        </row>
        <row r="16">
          <cell r="C16">
            <v>0</v>
          </cell>
          <cell r="D16">
            <v>0</v>
          </cell>
          <cell r="E16">
            <v>0</v>
          </cell>
          <cell r="F16">
            <v>0</v>
          </cell>
          <cell r="G16">
            <v>0</v>
          </cell>
          <cell r="H16">
            <v>1</v>
          </cell>
          <cell r="I16">
            <v>0</v>
          </cell>
          <cell r="J16">
            <v>0</v>
          </cell>
          <cell r="K16">
            <v>0</v>
          </cell>
          <cell r="L16">
            <v>0</v>
          </cell>
          <cell r="M16">
            <v>0</v>
          </cell>
          <cell r="N16">
            <v>1</v>
          </cell>
        </row>
      </sheetData>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firewrap"/>
      <sheetName val="Cooper Power"/>
      <sheetName val="ESTIMATE_1"/>
      <sheetName val="ESTIMATE_bu"/>
      <sheetName val="Rates"/>
      <sheetName val="Fully_Loaded_Rate_Non_Sh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G CONTRACT"/>
      <sheetName val="HVAC"/>
      <sheetName val="PLUMBING"/>
      <sheetName val="ELECTRICAL"/>
    </sheetNames>
    <sheetDataSet>
      <sheetData sheetId="0" refreshError="1">
        <row r="1">
          <cell r="E1" t="str">
            <v xml:space="preserve"> </v>
          </cell>
        </row>
        <row r="2">
          <cell r="A2" t="str">
            <v>PRELIMINARY CONSTRUCTION COST ESTIMATE</v>
          </cell>
        </row>
        <row r="4">
          <cell r="A4" t="str">
            <v>CAPITAL PROJECT</v>
          </cell>
          <cell r="E4" t="str">
            <v>PLANT NAME: SPRING CREEK</v>
          </cell>
        </row>
        <row r="5">
          <cell r="A5" t="str">
            <v>WP-225</v>
          </cell>
          <cell r="E5" t="str">
            <v>PROJECT NAME: AWPCP UPGRADE</v>
          </cell>
        </row>
        <row r="6">
          <cell r="A6" t="str">
            <v>J.C. ESTIMATING, INC./JCE CO.</v>
          </cell>
          <cell r="E6" t="str">
            <v>PRELIMINARY DESIGN</v>
          </cell>
        </row>
        <row r="8">
          <cell r="A8" t="str">
            <v>ITEM</v>
          </cell>
        </row>
        <row r="9">
          <cell r="A9" t="str">
            <v>ITEM</v>
          </cell>
          <cell r="B9" t="str">
            <v>DESCRIPTION</v>
          </cell>
          <cell r="D9" t="str">
            <v>UNIT</v>
          </cell>
          <cell r="E9" t="str">
            <v>QTY</v>
          </cell>
          <cell r="F9" t="str">
            <v>UNIT</v>
          </cell>
          <cell r="G9" t="str">
            <v>AMOUNT</v>
          </cell>
        </row>
        <row r="10">
          <cell r="A10" t="str">
            <v xml:space="preserve"># </v>
          </cell>
          <cell r="B10" t="str">
            <v xml:space="preserve"> </v>
          </cell>
          <cell r="F10" t="str">
            <v>COST $</v>
          </cell>
          <cell r="G10" t="str">
            <v>$</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ke-Off"/>
      <sheetName val="Look Up Table"/>
      <sheetName val="Sheet3"/>
    </sheetNames>
    <sheetDataSet>
      <sheetData sheetId="0"/>
      <sheetData sheetId="1" refreshError="1">
        <row r="9">
          <cell r="A9" t="str">
            <v>Additional lane</v>
          </cell>
        </row>
        <row r="10">
          <cell r="A10" t="str">
            <v>Barrier</v>
          </cell>
        </row>
        <row r="11">
          <cell r="A11" t="str">
            <v>Demo, street</v>
          </cell>
        </row>
        <row r="12">
          <cell r="A12" t="str">
            <v>Demo, mainline</v>
          </cell>
        </row>
        <row r="13">
          <cell r="A13" t="str">
            <v>Demo, ramp</v>
          </cell>
        </row>
        <row r="14">
          <cell r="A14" t="str">
            <v>Embankment</v>
          </cell>
        </row>
        <row r="15">
          <cell r="A15" t="str">
            <v>Excavation</v>
          </cell>
        </row>
        <row r="16">
          <cell r="A16" t="str">
            <v>Landscaping</v>
          </cell>
        </row>
        <row r="17">
          <cell r="A17" t="str">
            <v>Mainline, I-5</v>
          </cell>
        </row>
        <row r="18">
          <cell r="A18" t="str">
            <v>Mainline, SR 14</v>
          </cell>
        </row>
        <row r="19">
          <cell r="A19" t="str">
            <v>Ramp, 1-lane</v>
          </cell>
        </row>
        <row r="20">
          <cell r="A20" t="str">
            <v>Ramp, 2-lane</v>
          </cell>
        </row>
        <row r="21">
          <cell r="A21" t="str">
            <v>Street, 2-lane</v>
          </cell>
        </row>
        <row r="22">
          <cell r="A22" t="str">
            <v>Street, 2-lane &amp; CTL</v>
          </cell>
        </row>
        <row r="23">
          <cell r="A23" t="str">
            <v>Street, 4-lane &amp; CTL</v>
          </cell>
        </row>
        <row r="24">
          <cell r="A24" t="str">
            <v>Street, Marine Drive</v>
          </cell>
        </row>
        <row r="25">
          <cell r="A25" t="str">
            <v>Stripping</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ctivities"/>
      <sheetName val="Schedule&amp;Costs"/>
      <sheetName val="Flowchart"/>
      <sheetName val="Matrix"/>
      <sheetName val="@RISK Stats"/>
      <sheetName val="@RISK Tornado"/>
      <sheetName val="Register"/>
      <sheetName val="Base Costs"/>
      <sheetName val="Non Quantified"/>
      <sheetName val="Cost Estimates"/>
      <sheetName val="Chart Construction"/>
      <sheetName val="Chart Cost"/>
      <sheetName val="Chart Dates"/>
      <sheetName val="Chart Schedule"/>
      <sheetName val="Chart Cashflow"/>
      <sheetName val="Chart Cashflow Cumul"/>
      <sheetName val="Support"/>
      <sheetName val="Risk Management"/>
      <sheetName val="Lookup"/>
      <sheetName val="Distributions"/>
      <sheetName val="Register Export"/>
      <sheetName val="Activities Report"/>
      <sheetName val="Register Repor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row r="35">
          <cell r="B35" t="str">
            <v>Bool_C11</v>
          </cell>
          <cell r="C35" t="str">
            <v>Coordination challenges</v>
          </cell>
        </row>
        <row r="36">
          <cell r="B36" t="str">
            <v>Bool_C18</v>
          </cell>
          <cell r="C36" t="str">
            <v>Winter roadway work</v>
          </cell>
        </row>
        <row r="37">
          <cell r="B37" t="str">
            <v>Bool_C19</v>
          </cell>
          <cell r="C37" t="str">
            <v>Reduce amount of compost</v>
          </cell>
        </row>
        <row r="38">
          <cell r="B38" t="str">
            <v>Bool_C2</v>
          </cell>
          <cell r="C38" t="str">
            <v>Fish work window</v>
          </cell>
        </row>
        <row r="39">
          <cell r="B39" t="str">
            <v>Bool_C20</v>
          </cell>
          <cell r="C39" t="str">
            <v xml:space="preserve">Moving temporary barrier </v>
          </cell>
        </row>
        <row r="40">
          <cell r="B40" t="str">
            <v>Bool_C21</v>
          </cell>
          <cell r="C40" t="str">
            <v>Percentage of other miscellaneous items</v>
          </cell>
        </row>
        <row r="41">
          <cell r="B41" t="str">
            <v>Bool_C22</v>
          </cell>
          <cell r="C41" t="str">
            <v>Unsuitable foundation excavation &amp; fill costs</v>
          </cell>
        </row>
        <row r="42">
          <cell r="B42" t="str">
            <v>Bool_C3</v>
          </cell>
          <cell r="C42" t="str">
            <v>Construction work window</v>
          </cell>
        </row>
        <row r="43">
          <cell r="B43" t="str">
            <v>Bool_D1</v>
          </cell>
          <cell r="C43" t="str">
            <v>Design deviations unapproved</v>
          </cell>
        </row>
        <row r="44">
          <cell r="B44" t="str">
            <v>Bool_D10</v>
          </cell>
          <cell r="C44" t="str">
            <v>Unknown hazardous waste found during construction</v>
          </cell>
        </row>
        <row r="45">
          <cell r="B45" t="str">
            <v>Bool_D12</v>
          </cell>
          <cell r="C45" t="str">
            <v>Unanticipated geotechnical hazards</v>
          </cell>
        </row>
        <row r="46">
          <cell r="B46" t="str">
            <v>Bool_D16</v>
          </cell>
          <cell r="C46" t="str">
            <v>Unexpected construction staging issues (during DESIGN/PS&amp;E)</v>
          </cell>
        </row>
        <row r="47">
          <cell r="B47" t="str">
            <v>Bool_D5</v>
          </cell>
          <cell r="C47" t="str">
            <v>Cattle pass underneath Maytown bridges not included in design</v>
          </cell>
        </row>
        <row r="48">
          <cell r="B48" t="str">
            <v>Bool_D6</v>
          </cell>
          <cell r="C48" t="str">
            <v>Piezometer readings effecting pond designs</v>
          </cell>
        </row>
        <row r="49">
          <cell r="B49" t="str">
            <v>Bool_D7</v>
          </cell>
          <cell r="C49" t="str">
            <v>Development impacts</v>
          </cell>
        </row>
        <row r="50">
          <cell r="B50" t="str">
            <v>Bool_D8</v>
          </cell>
          <cell r="C50" t="str">
            <v>Fish habitat and passage issues</v>
          </cell>
        </row>
        <row r="51">
          <cell r="B51" t="str">
            <v>Bool_D9 NEW</v>
          </cell>
          <cell r="C51" t="str">
            <v>Disposal of surplus material</v>
          </cell>
        </row>
        <row r="52">
          <cell r="B52" t="str">
            <v>Bool_E1</v>
          </cell>
          <cell r="C52" t="str">
            <v>NEPA DCE vs. EA</v>
          </cell>
        </row>
        <row r="53">
          <cell r="B53" t="str">
            <v>Bool_E10</v>
          </cell>
          <cell r="C53" t="str">
            <v>Unknown cultural resources discovered during construction</v>
          </cell>
        </row>
        <row r="54">
          <cell r="B54" t="str">
            <v>Bool_E2</v>
          </cell>
          <cell r="C54" t="str">
            <v>Reduction in storm water pond size</v>
          </cell>
        </row>
        <row r="55">
          <cell r="B55" t="str">
            <v>Bool_E6</v>
          </cell>
          <cell r="C55" t="str">
            <v>Uncertainty in the environmental permitting process</v>
          </cell>
        </row>
        <row r="56">
          <cell r="B56" t="str">
            <v>Bool_P1</v>
          </cell>
          <cell r="C56" t="str">
            <v>Rest area improvements design coordination challenges</v>
          </cell>
        </row>
        <row r="57">
          <cell r="B57" t="str">
            <v>Bool_P4</v>
          </cell>
          <cell r="C57" t="str">
            <v xml:space="preserve"> Agreements</v>
          </cell>
        </row>
        <row r="58">
          <cell r="B58" t="str">
            <v>Bool_P5</v>
          </cell>
          <cell r="C58" t="str">
            <v>Functional units not available, overloaded</v>
          </cell>
        </row>
        <row r="59">
          <cell r="B59" t="str">
            <v>Bool_P6</v>
          </cell>
          <cell r="C59" t="str">
            <v>Consultant or contractor delays</v>
          </cell>
        </row>
        <row r="60">
          <cell r="B60" t="str">
            <v>Bool_R3</v>
          </cell>
          <cell r="C60" t="str">
            <v>Utility relocation</v>
          </cell>
        </row>
        <row r="61">
          <cell r="B61" t="str">
            <v>Bool_R5</v>
          </cell>
          <cell r="C61" t="str">
            <v>Objections to right of way appraisal takes more time and/or money</v>
          </cell>
        </row>
        <row r="62">
          <cell r="B62" t="str">
            <v>Bool_R6</v>
          </cell>
          <cell r="C62" t="str">
            <v>Mitigation utilizing WDFW parcel</v>
          </cell>
        </row>
        <row r="63">
          <cell r="B63" t="str">
            <v>Cost_C1</v>
          </cell>
          <cell r="C63" t="str">
            <v>Unexpected construction staging issues (during construction)</v>
          </cell>
        </row>
        <row r="64">
          <cell r="B64" t="str">
            <v>Cost_C11</v>
          </cell>
          <cell r="C64" t="str">
            <v>Coordination challenges</v>
          </cell>
        </row>
        <row r="65">
          <cell r="B65" t="str">
            <v>Cost_C12</v>
          </cell>
          <cell r="C65" t="str">
            <v xml:space="preserve">Unsuitable material &amp; water table problems </v>
          </cell>
        </row>
        <row r="66">
          <cell r="B66" t="str">
            <v>Cost_C13</v>
          </cell>
          <cell r="C66" t="str">
            <v>Buried utilities</v>
          </cell>
        </row>
        <row r="67">
          <cell r="B67" t="str">
            <v>Cost_C14</v>
          </cell>
          <cell r="C67" t="str">
            <v xml:space="preserve">Unsuitable backfill </v>
          </cell>
        </row>
        <row r="68">
          <cell r="B68" t="str">
            <v>Cost_C16</v>
          </cell>
          <cell r="C68" t="str">
            <v>Other utility risks</v>
          </cell>
        </row>
        <row r="69">
          <cell r="B69" t="str">
            <v>Cost_C17</v>
          </cell>
          <cell r="C69" t="str">
            <v>n/a</v>
          </cell>
        </row>
        <row r="70">
          <cell r="B70" t="str">
            <v>Cost_C18</v>
          </cell>
          <cell r="C70" t="str">
            <v>Winter roadway work</v>
          </cell>
        </row>
        <row r="71">
          <cell r="B71" t="str">
            <v>Cost_C19</v>
          </cell>
          <cell r="C71" t="str">
            <v>Reduce amount of compost</v>
          </cell>
        </row>
        <row r="72">
          <cell r="B72" t="str">
            <v>Cost_C2</v>
          </cell>
          <cell r="C72" t="str">
            <v>Fish work window</v>
          </cell>
        </row>
        <row r="73">
          <cell r="B73" t="str">
            <v>Cost_C20</v>
          </cell>
          <cell r="C73" t="str">
            <v xml:space="preserve">Moving temporary barrier </v>
          </cell>
        </row>
        <row r="74">
          <cell r="B74" t="str">
            <v>Cost_C21</v>
          </cell>
          <cell r="C74" t="str">
            <v>Percentage of other miscellaneous items</v>
          </cell>
        </row>
        <row r="75">
          <cell r="B75" t="str">
            <v>Cost_C22</v>
          </cell>
          <cell r="C75" t="str">
            <v>Unsuitable foundation excavation &amp; fill costs</v>
          </cell>
        </row>
        <row r="76">
          <cell r="B76" t="str">
            <v>Cost_C3</v>
          </cell>
          <cell r="C76" t="str">
            <v>Construction work window</v>
          </cell>
        </row>
        <row r="77">
          <cell r="B77" t="str">
            <v>Cost_C6</v>
          </cell>
          <cell r="C77" t="str">
            <v>Difficulty of maintaining median drainage during construction</v>
          </cell>
        </row>
        <row r="78">
          <cell r="B78" t="str">
            <v>Cost_C7</v>
          </cell>
          <cell r="C78" t="str">
            <v>Biological hazard (leaking sewer line)</v>
          </cell>
        </row>
        <row r="79">
          <cell r="B79" t="str">
            <v>Cost_C8</v>
          </cell>
          <cell r="C79" t="str">
            <v xml:space="preserve">Artesian springs in vicinity </v>
          </cell>
        </row>
        <row r="80">
          <cell r="B80" t="str">
            <v>Cost_C9</v>
          </cell>
          <cell r="C80" t="str">
            <v>Chance of rock below ground</v>
          </cell>
        </row>
        <row r="81">
          <cell r="B81" t="str">
            <v>Cost_D1</v>
          </cell>
          <cell r="C81" t="str">
            <v>Design deviations unapproved</v>
          </cell>
        </row>
        <row r="82">
          <cell r="B82" t="str">
            <v>Cost_D10</v>
          </cell>
          <cell r="C82" t="str">
            <v>Unknown hazardous waste found during construction</v>
          </cell>
        </row>
        <row r="83">
          <cell r="B83" t="str">
            <v>Cost_D12</v>
          </cell>
          <cell r="C83" t="str">
            <v>Unanticipated geotechnical hazards</v>
          </cell>
        </row>
        <row r="84">
          <cell r="B84" t="str">
            <v>Cost_D14</v>
          </cell>
          <cell r="C84" t="str">
            <v>Dewatering challenges for structure construction</v>
          </cell>
        </row>
        <row r="85">
          <cell r="B85" t="str">
            <v>Cost_D16</v>
          </cell>
          <cell r="C85" t="str">
            <v>Unexpected construction staging issues - including issues encountered during DESIGN/PS&amp;E</v>
          </cell>
        </row>
        <row r="86">
          <cell r="B86" t="str">
            <v>Cost_D4</v>
          </cell>
          <cell r="C86" t="str">
            <v>Railroad interaction (vertical clearance)</v>
          </cell>
        </row>
        <row r="87">
          <cell r="B87" t="str">
            <v>Cost_D5</v>
          </cell>
          <cell r="C87" t="str">
            <v>Cattle pass underneath Maytown bridges not included in design</v>
          </cell>
        </row>
        <row r="88">
          <cell r="B88" t="str">
            <v>Cost_D6</v>
          </cell>
          <cell r="C88" t="str">
            <v>Piezometer readings effecting pond designs</v>
          </cell>
        </row>
        <row r="89">
          <cell r="B89" t="str">
            <v>Cost_D7</v>
          </cell>
          <cell r="C89" t="str">
            <v>Development impacts</v>
          </cell>
        </row>
        <row r="90">
          <cell r="B90" t="str">
            <v>Cost_D8</v>
          </cell>
          <cell r="C90" t="str">
            <v>Fish habitat and passage issues</v>
          </cell>
        </row>
        <row r="91">
          <cell r="B91" t="str">
            <v>Cost_D9 NEW</v>
          </cell>
          <cell r="C91" t="str">
            <v>Disposal of surplus material</v>
          </cell>
        </row>
        <row r="92">
          <cell r="B92" t="str">
            <v>Cost_E1</v>
          </cell>
          <cell r="C92" t="str">
            <v>NEPA DCE vs. EA</v>
          </cell>
        </row>
        <row r="93">
          <cell r="B93" t="str">
            <v>Cost_E10</v>
          </cell>
          <cell r="C93" t="str">
            <v>Unknown cultural resources discovered during construction</v>
          </cell>
        </row>
        <row r="94">
          <cell r="B94" t="str">
            <v>Cost_E2</v>
          </cell>
          <cell r="C94" t="str">
            <v>Reduction in storm water pond size</v>
          </cell>
        </row>
        <row r="95">
          <cell r="B95" t="str">
            <v>Cost_E6</v>
          </cell>
          <cell r="C95" t="str">
            <v>Uncertainty in the environmental permitting process</v>
          </cell>
        </row>
        <row r="96">
          <cell r="B96" t="str">
            <v>Cost_P1</v>
          </cell>
          <cell r="C96" t="str">
            <v>Rest area improvements design coordination challenges</v>
          </cell>
        </row>
        <row r="97">
          <cell r="B97" t="str">
            <v>Cost_P4</v>
          </cell>
          <cell r="C97" t="str">
            <v xml:space="preserve"> Agreements</v>
          </cell>
        </row>
        <row r="98">
          <cell r="B98" t="str">
            <v>Cost_P5</v>
          </cell>
          <cell r="C98" t="str">
            <v>Functional units not available, overloaded</v>
          </cell>
        </row>
        <row r="99">
          <cell r="B99" t="str">
            <v>Cost_P6</v>
          </cell>
          <cell r="C99" t="str">
            <v>Consultant or contractor delays</v>
          </cell>
        </row>
        <row r="100">
          <cell r="B100" t="str">
            <v>Cost_R2</v>
          </cell>
          <cell r="C100" t="str">
            <v>Limited access requirements not yet considered</v>
          </cell>
        </row>
        <row r="101">
          <cell r="B101" t="str">
            <v>Cost_R3</v>
          </cell>
          <cell r="C101" t="str">
            <v>Utility relocation</v>
          </cell>
        </row>
        <row r="102">
          <cell r="B102" t="str">
            <v>Cost_R5</v>
          </cell>
          <cell r="C102" t="str">
            <v>Objections to right of way appraisal takes more time and/or money</v>
          </cell>
        </row>
        <row r="103">
          <cell r="B103" t="str">
            <v>Cost_R6</v>
          </cell>
          <cell r="C103" t="str">
            <v>Mitigation utilizing WDFW parcel</v>
          </cell>
        </row>
        <row r="104">
          <cell r="B104" t="str">
            <v>Cost_X1</v>
          </cell>
          <cell r="C104" t="str">
            <v>Landowners unwilling to sell</v>
          </cell>
        </row>
        <row r="105">
          <cell r="B105" t="str">
            <v>Schedule_C1</v>
          </cell>
          <cell r="C105" t="str">
            <v>Unexpected construction staging issues (during construction)</v>
          </cell>
        </row>
        <row r="106">
          <cell r="B106" t="str">
            <v>Schedule_C11</v>
          </cell>
          <cell r="C106" t="str">
            <v>Coordination challenges</v>
          </cell>
        </row>
        <row r="107">
          <cell r="B107" t="str">
            <v>Schedule_C12</v>
          </cell>
          <cell r="C107" t="str">
            <v xml:space="preserve">Unsuitable material &amp; water table problems </v>
          </cell>
        </row>
        <row r="108">
          <cell r="B108" t="str">
            <v>Schedule_C13</v>
          </cell>
          <cell r="C108" t="str">
            <v>Buried utilities</v>
          </cell>
        </row>
        <row r="109">
          <cell r="B109" t="str">
            <v>Schedule_C14</v>
          </cell>
          <cell r="C109" t="str">
            <v xml:space="preserve">Unsuitable backfill </v>
          </cell>
        </row>
        <row r="110">
          <cell r="B110" t="str">
            <v>Schedule_C16</v>
          </cell>
          <cell r="C110" t="str">
            <v>Other utility risks</v>
          </cell>
        </row>
        <row r="111">
          <cell r="B111" t="str">
            <v>Schedule_C17</v>
          </cell>
          <cell r="C111" t="str">
            <v>n/a</v>
          </cell>
        </row>
        <row r="112">
          <cell r="B112" t="str">
            <v>Schedule_C18</v>
          </cell>
          <cell r="C112" t="str">
            <v>Winter roadway work</v>
          </cell>
        </row>
        <row r="113">
          <cell r="B113" t="str">
            <v>Schedule_C19</v>
          </cell>
          <cell r="C113" t="str">
            <v>Reduce amount of compost</v>
          </cell>
        </row>
        <row r="114">
          <cell r="B114" t="str">
            <v>Schedule_C2</v>
          </cell>
          <cell r="C114" t="str">
            <v>Fish work window</v>
          </cell>
        </row>
        <row r="115">
          <cell r="B115" t="str">
            <v>Schedule_C20</v>
          </cell>
          <cell r="C115" t="str">
            <v xml:space="preserve">Moving temporary barrier </v>
          </cell>
        </row>
        <row r="116">
          <cell r="B116" t="str">
            <v>Schedule_C3</v>
          </cell>
          <cell r="C116" t="str">
            <v>Construction work window</v>
          </cell>
        </row>
        <row r="117">
          <cell r="B117" t="str">
            <v>Schedule_C6</v>
          </cell>
          <cell r="C117" t="str">
            <v>Difficulty of maintaining median drainage during construction</v>
          </cell>
        </row>
        <row r="118">
          <cell r="B118" t="str">
            <v>Schedule_C7</v>
          </cell>
          <cell r="C118" t="str">
            <v>Biological hazard (leaking sewer line)</v>
          </cell>
        </row>
        <row r="119">
          <cell r="B119" t="str">
            <v>Schedule_C8</v>
          </cell>
          <cell r="C119" t="str">
            <v xml:space="preserve">Artesian springs in vicinity </v>
          </cell>
        </row>
        <row r="120">
          <cell r="B120" t="str">
            <v>Schedule_C9</v>
          </cell>
          <cell r="C120" t="str">
            <v>Chance of rock below ground</v>
          </cell>
        </row>
        <row r="121">
          <cell r="B121" t="str">
            <v>Schedule_D1</v>
          </cell>
          <cell r="C121" t="str">
            <v>Design deviations unapproved</v>
          </cell>
        </row>
        <row r="122">
          <cell r="B122" t="str">
            <v>Schedule_D10</v>
          </cell>
          <cell r="C122" t="str">
            <v>Unknown hazardous waste found during construction</v>
          </cell>
        </row>
        <row r="123">
          <cell r="B123" t="str">
            <v>Schedule_D12</v>
          </cell>
          <cell r="C123" t="str">
            <v>Unanticipated geotechnical hazards</v>
          </cell>
        </row>
        <row r="124">
          <cell r="B124" t="str">
            <v>Schedule_D14</v>
          </cell>
          <cell r="C124" t="str">
            <v>Dewatering challenges for structure construction</v>
          </cell>
        </row>
        <row r="125">
          <cell r="B125" t="str">
            <v>Schedule_D16</v>
          </cell>
          <cell r="C125" t="str">
            <v>Unexpected construction staging issues (during DESIGN/PS&amp;E)</v>
          </cell>
        </row>
        <row r="126">
          <cell r="B126" t="str">
            <v>Schedule_D4</v>
          </cell>
          <cell r="C126" t="str">
            <v>Railroad interaction (vertical clearance)</v>
          </cell>
        </row>
        <row r="127">
          <cell r="B127" t="str">
            <v>Schedule_D5</v>
          </cell>
          <cell r="C127" t="str">
            <v>Cattle pass underneath Maytown bridges not included in design</v>
          </cell>
        </row>
        <row r="128">
          <cell r="B128" t="str">
            <v>Schedule_D6</v>
          </cell>
          <cell r="C128" t="str">
            <v>Piezometer readings effecting pond designs</v>
          </cell>
        </row>
        <row r="129">
          <cell r="B129" t="str">
            <v>Schedule_D7</v>
          </cell>
          <cell r="C129" t="str">
            <v>Development impacts</v>
          </cell>
        </row>
        <row r="130">
          <cell r="B130" t="str">
            <v>Schedule_D8</v>
          </cell>
          <cell r="C130" t="str">
            <v>Fish habitat and passage issues</v>
          </cell>
        </row>
        <row r="131">
          <cell r="B131" t="str">
            <v>Schedule_D9 NEW</v>
          </cell>
          <cell r="C131" t="str">
            <v>Disposal of surplus material</v>
          </cell>
        </row>
        <row r="132">
          <cell r="B132" t="str">
            <v>Schedule_E1</v>
          </cell>
          <cell r="C132" t="str">
            <v>NEPA DCE vs. EA</v>
          </cell>
        </row>
        <row r="133">
          <cell r="B133" t="str">
            <v>Schedule_E10</v>
          </cell>
          <cell r="C133" t="str">
            <v>Unknown cultural resources discovered during construction</v>
          </cell>
        </row>
        <row r="134">
          <cell r="B134" t="str">
            <v>Schedule_E2</v>
          </cell>
          <cell r="C134" t="str">
            <v>Reduction in storm water pond size</v>
          </cell>
        </row>
        <row r="135">
          <cell r="B135" t="str">
            <v>Schedule_E6</v>
          </cell>
          <cell r="C135" t="str">
            <v>Uncertainty in the environmental permitting process</v>
          </cell>
        </row>
        <row r="136">
          <cell r="B136" t="str">
            <v>Schedule_P1</v>
          </cell>
          <cell r="C136" t="str">
            <v>Rest area improvements design coordination challenges</v>
          </cell>
        </row>
        <row r="137">
          <cell r="B137" t="str">
            <v>Schedule_P4</v>
          </cell>
          <cell r="C137" t="str">
            <v xml:space="preserve"> Agreements</v>
          </cell>
        </row>
        <row r="138">
          <cell r="B138" t="str">
            <v>Schedule_P5</v>
          </cell>
          <cell r="C138" t="str">
            <v>Functional units not available, overloaded</v>
          </cell>
        </row>
        <row r="139">
          <cell r="B139" t="str">
            <v>Schedule_P6</v>
          </cell>
          <cell r="C139" t="str">
            <v>Consultant or contractor delays</v>
          </cell>
        </row>
        <row r="140">
          <cell r="B140" t="str">
            <v>Schedule_R2</v>
          </cell>
          <cell r="C140" t="str">
            <v>Limited access requirements not yet considered</v>
          </cell>
        </row>
        <row r="141">
          <cell r="B141" t="str">
            <v>Schedule_R3</v>
          </cell>
          <cell r="C141" t="str">
            <v>Utility relocation</v>
          </cell>
        </row>
        <row r="142">
          <cell r="B142" t="str">
            <v>Schedule_R5</v>
          </cell>
          <cell r="C142" t="str">
            <v>Objections to right of way appraisal takes more time and/or money</v>
          </cell>
        </row>
        <row r="143">
          <cell r="B143" t="str">
            <v>Schedule_R6</v>
          </cell>
          <cell r="C143" t="str">
            <v>Mitigation utilizing WDFW parcel</v>
          </cell>
        </row>
        <row r="144">
          <cell r="B144" t="str">
            <v>Schedule_X1</v>
          </cell>
          <cell r="C144" t="str">
            <v>Landowners unwilling to sell</v>
          </cell>
        </row>
      </sheetData>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table"/>
      <sheetName val="station overview"/>
      <sheetName val="match calculation"/>
      <sheetName val="stations and bikes"/>
    </sheetNames>
    <sheetDataSet>
      <sheetData sheetId="0">
        <row r="6">
          <cell r="D6">
            <v>524600</v>
          </cell>
          <cell r="E6">
            <v>77714</v>
          </cell>
        </row>
      </sheetData>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1"/>
      <sheetName val="Group2"/>
      <sheetName val="Group3"/>
      <sheetName val="Group4"/>
      <sheetName val="CostEffectivess"/>
      <sheetName val="Summary tables for report"/>
      <sheetName val="Summary tables for graphs"/>
      <sheetName val="Effectiveness,Cost,etc"/>
      <sheetName val="Summary table for presentation"/>
      <sheetName val="Summary"/>
      <sheetName val="Regional LDV age"/>
      <sheetName val="LD HD VMT Emissions"/>
      <sheetName val="2007 fuel use"/>
      <sheetName val="Fuel Efficiency"/>
      <sheetName val="Assumptions"/>
      <sheetName val="Alt fuels"/>
      <sheetName val="Alt fuels (high price case)"/>
      <sheetName val="Alt fuels (high price, CAFE 55)"/>
      <sheetName val="DOE AEO MPG"/>
      <sheetName val="Committed TERMs"/>
      <sheetName val="VPL"/>
      <sheetName val="Travel Efficiency Strategies"/>
      <sheetName val="Dulles Rail"/>
      <sheetName val="CO2 Inventories"/>
      <sheetName val="CO2 RATES "/>
      <sheetName val="HighFedRole_reduxfactor"/>
      <sheetName val="Sheet1"/>
      <sheetName val="CF7.2, CLRP ASP Land use"/>
      <sheetName val="signal optim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4">
          <cell r="B14">
            <v>461.69728614536024</v>
          </cell>
        </row>
        <row r="24">
          <cell r="B24">
            <v>358.77931849744169</v>
          </cell>
        </row>
      </sheetData>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Log"/>
      <sheetName val="ToDo"/>
      <sheetName val="VOT"/>
      <sheetName val="Summary"/>
      <sheetName val="LookVOC"/>
      <sheetName val="Lookup Summary"/>
      <sheetName val="LookFuel"/>
      <sheetName val="LookTire"/>
      <sheetName val="LookMaint"/>
      <sheetName val="LookDep"/>
      <sheetName val="LookOil"/>
      <sheetName val="HERS Calculation Sheets--&gt;"/>
      <sheetName val="SmallAuto"/>
      <sheetName val="LargeAuto"/>
      <sheetName val="4TireTruck"/>
      <sheetName val="6TireTruck"/>
      <sheetName val="3-4AxleTruck"/>
      <sheetName val="4AxleCombTruck"/>
      <sheetName val="5+AxleCombTruck"/>
    </sheetNames>
    <sheetDataSet>
      <sheetData sheetId="0"/>
      <sheetData sheetId="1"/>
      <sheetData sheetId="2"/>
      <sheetData sheetId="3"/>
      <sheetData sheetId="4"/>
      <sheetData sheetId="5">
        <row r="2">
          <cell r="D2">
            <v>79</v>
          </cell>
        </row>
        <row r="3">
          <cell r="D3">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Segment Map"/>
      <sheetName val="@RISK Paste"/>
      <sheetName val="Chart MIRR"/>
      <sheetName val="Chart BC"/>
      <sheetName val="BENEFITS_BASE"/>
      <sheetName val="BENEFITS_BY_YEAR"/>
      <sheetName val="BENEFITS_TRUCKS"/>
      <sheetName val="Chart Alt1"/>
      <sheetName val="Chart Alt2"/>
      <sheetName val="Chart Alt3"/>
      <sheetName val="Chart Alt4"/>
      <sheetName val="Chart Alt5"/>
      <sheetName val="Chart Alt1 CBA"/>
      <sheetName val="Chart Alt2 CBA"/>
      <sheetName val="Chart Alt3 CBA"/>
      <sheetName val="Chart Alt4 CBA"/>
      <sheetName val="Chart Alt5 CBA"/>
      <sheetName val="Summary Base"/>
      <sheetName val="Summary Alt1"/>
      <sheetName val="Summary Alt2 GP"/>
      <sheetName val="Summary Alt2 HOV"/>
      <sheetName val="Summary Alt3 GP"/>
      <sheetName val="Summary Alt3 HOV"/>
      <sheetName val="Summary Alt4HOV"/>
      <sheetName val="Summary Alt4GP"/>
      <sheetName val="Summary Alt5GP"/>
      <sheetName val="Summary Alt5HOV"/>
      <sheetName val="Routes&amp;Segments"/>
      <sheetName val="Traffic Data"/>
      <sheetName val="Diversion Estimate"/>
      <sheetName val="Cost Phasing"/>
      <sheetName val="HOV Diversion"/>
      <sheetName val="Assumptions"/>
      <sheetName val="LOOKUP"/>
      <sheetName val="Cost Estimates"/>
      <sheetName val="Cost Table"/>
      <sheetName val="Tangible Benefits"/>
      <sheetName val="Tangible Benefits Table"/>
      <sheetName val="Benefit Estimates"/>
      <sheetName val="Seg A"/>
      <sheetName val="Seg B"/>
      <sheetName val="Seg C"/>
      <sheetName val="Seg D"/>
      <sheetName val="Seg E"/>
      <sheetName val="Seg F"/>
      <sheetName val="Seg G"/>
      <sheetName val="FUNCTIONS"/>
      <sheetName val="ELASTICITIES"/>
      <sheetName val="LOS TABLE"/>
      <sheetName val="BASE CASE OUTPUT TABLE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8">
          <cell r="H18">
            <v>365</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Data Summary for Report"/>
      <sheetName val="Alternatives Matrix"/>
      <sheetName val="Summary Table"/>
      <sheetName val="Summary  linked to Alt sheets"/>
      <sheetName val="Financial Summary"/>
      <sheetName val="Benefits Summary"/>
      <sheetName val="@RISK Results"/>
      <sheetName val="CHART Ben-Cat"/>
      <sheetName val="CHART Benefits Low-High"/>
      <sheetName val="CHART NPV Low-High"/>
      <sheetName val="CHART IRR Low-High"/>
      <sheetName val="CHART B-C Low-High"/>
      <sheetName val="Benefits Matrix Summary"/>
      <sheetName val="Financial Matrix Summary"/>
      <sheetName val="Assumptions Summary"/>
      <sheetName val="Assumptions"/>
      <sheetName val="Cost Source"/>
      <sheetName val="LaneMiles"/>
      <sheetName val="Annual Costs"/>
      <sheetName val="Traffic Data"/>
      <sheetName val="Alt B1"/>
      <sheetName val="Alt C1"/>
      <sheetName val="Alt D1"/>
      <sheetName val="Alt E1"/>
      <sheetName val="Alt F1"/>
      <sheetName val="rsklibSimData"/>
      <sheetName val="Alt A2"/>
      <sheetName val="Alt B2"/>
      <sheetName val="Alt C2"/>
      <sheetName val="Alt D2"/>
      <sheetName val="Alt E2"/>
      <sheetName val="Alt B3"/>
      <sheetName val="Alt F3"/>
      <sheetName val="Alt A4"/>
      <sheetName val="Alt B4"/>
      <sheetName val="Alt E4"/>
      <sheetName val="RiskSerializationData"/>
      <sheetName val="NPV Summary Table"/>
      <sheetName val="NPV  Matrix Summary"/>
      <sheetName val="CHART NPV Bubble "/>
      <sheetName val="Accident"/>
      <sheetName val="LookVOC"/>
      <sheetName val="emissionLookup"/>
      <sheetName val="Opening Years"/>
      <sheetName val="Summary Hers"/>
      <sheetName val="Price Assumptions"/>
      <sheetName val="VMT CHART (B1)"/>
      <sheetName val="VHT CHART (B1)"/>
      <sheetName val="Speed CHART (B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row r="3">
          <cell r="I3">
            <v>365</v>
          </cell>
        </row>
        <row r="5">
          <cell r="I5" t="e">
            <v>#NAME?</v>
          </cell>
        </row>
        <row r="82">
          <cell r="I82">
            <v>43.043984954796173</v>
          </cell>
        </row>
      </sheetData>
      <sheetData sheetId="16"/>
      <sheetData sheetId="17"/>
      <sheetData sheetId="18">
        <row r="25">
          <cell r="C25" t="str">
            <v>A1</v>
          </cell>
          <cell r="D25" t="str">
            <v>2035 LRTP Expanded (BASE)</v>
          </cell>
        </row>
        <row r="26">
          <cell r="C26" t="str">
            <v>B1</v>
          </cell>
          <cell r="D26" t="str">
            <v>Beltway 1 (Outer)</v>
          </cell>
          <cell r="E26" t="e">
            <v>#NAME?</v>
          </cell>
          <cell r="F26" t="e">
            <v>#NAME?</v>
          </cell>
          <cell r="G26" t="e">
            <v>#NAME?</v>
          </cell>
          <cell r="H26" t="e">
            <v>#NAME?</v>
          </cell>
          <cell r="I26" t="e">
            <v>#NAME?</v>
          </cell>
          <cell r="J26" t="e">
            <v>#NAME?</v>
          </cell>
          <cell r="K26" t="e">
            <v>#NAME?</v>
          </cell>
          <cell r="L26" t="e">
            <v>#NAME?</v>
          </cell>
          <cell r="M26" t="e">
            <v>#NAME?</v>
          </cell>
          <cell r="N26" t="e">
            <v>#NAME?</v>
          </cell>
          <cell r="O26" t="e">
            <v>#NAME?</v>
          </cell>
          <cell r="P26" t="e">
            <v>#NAME?</v>
          </cell>
          <cell r="Q26" t="e">
            <v>#NAME?</v>
          </cell>
          <cell r="R26" t="e">
            <v>#NAME?</v>
          </cell>
          <cell r="S26" t="e">
            <v>#NAME?</v>
          </cell>
          <cell r="T26" t="e">
            <v>#NAME?</v>
          </cell>
          <cell r="U26" t="e">
            <v>#NAME?</v>
          </cell>
          <cell r="V26" t="e">
            <v>#NAME?</v>
          </cell>
          <cell r="W26" t="e">
            <v>#NAME?</v>
          </cell>
          <cell r="X26" t="e">
            <v>#NAME?</v>
          </cell>
          <cell r="Y26" t="e">
            <v>#NAME?</v>
          </cell>
          <cell r="Z26" t="e">
            <v>#NAME?</v>
          </cell>
          <cell r="AA26" t="e">
            <v>#NAME?</v>
          </cell>
          <cell r="AB26" t="e">
            <v>#NAME?</v>
          </cell>
          <cell r="AC26" t="e">
            <v>#NAME?</v>
          </cell>
          <cell r="AD26" t="e">
            <v>#NAME?</v>
          </cell>
          <cell r="AE26" t="e">
            <v>#NAME?</v>
          </cell>
          <cell r="AF26" t="e">
            <v>#NAME?</v>
          </cell>
          <cell r="AG26" t="e">
            <v>#NAME?</v>
          </cell>
          <cell r="AH26" t="e">
            <v>#NAME?</v>
          </cell>
          <cell r="AI26" t="e">
            <v>#NAME?</v>
          </cell>
          <cell r="AJ26" t="e">
            <v>#NAME?</v>
          </cell>
          <cell r="AK26" t="e">
            <v>#NAME?</v>
          </cell>
          <cell r="AL26" t="e">
            <v>#NAME?</v>
          </cell>
          <cell r="AM26" t="e">
            <v>#NAME?</v>
          </cell>
          <cell r="AN26" t="e">
            <v>#NAME?</v>
          </cell>
          <cell r="AO26" t="e">
            <v>#NAME?</v>
          </cell>
          <cell r="AP26" t="e">
            <v>#NAME?</v>
          </cell>
          <cell r="AQ26" t="e">
            <v>#NAME?</v>
          </cell>
          <cell r="AR26" t="e">
            <v>#NAME?</v>
          </cell>
          <cell r="AS26" t="e">
            <v>#NAME?</v>
          </cell>
          <cell r="AT26" t="e">
            <v>#NAME?</v>
          </cell>
          <cell r="AU26" t="e">
            <v>#NAME?</v>
          </cell>
          <cell r="AV26" t="e">
            <v>#NAME?</v>
          </cell>
          <cell r="AW26" t="e">
            <v>#NAME?</v>
          </cell>
          <cell r="AX26" t="e">
            <v>#NAME?</v>
          </cell>
          <cell r="AY26" t="e">
            <v>#NAME?</v>
          </cell>
          <cell r="AZ26" t="e">
            <v>#NAME?</v>
          </cell>
          <cell r="BA26" t="e">
            <v>#NAME?</v>
          </cell>
          <cell r="BB26" t="e">
            <v>#NAME?</v>
          </cell>
          <cell r="BC26" t="e">
            <v>#NAME?</v>
          </cell>
          <cell r="BD26" t="e">
            <v>#NAME?</v>
          </cell>
          <cell r="BE26" t="e">
            <v>#NAME?</v>
          </cell>
          <cell r="BF26" t="e">
            <v>#NAME?</v>
          </cell>
          <cell r="BG26" t="e">
            <v>#NAME?</v>
          </cell>
          <cell r="BH26" t="e">
            <v>#NAME?</v>
          </cell>
          <cell r="BI26" t="e">
            <v>#NAME?</v>
          </cell>
          <cell r="BJ26" t="e">
            <v>#NAME?</v>
          </cell>
          <cell r="BK26" t="e">
            <v>#NAME?</v>
          </cell>
          <cell r="BL26" t="e">
            <v>#NAME?</v>
          </cell>
          <cell r="BM26" t="e">
            <v>#NAME?</v>
          </cell>
          <cell r="BN26" t="e">
            <v>#NAME?</v>
          </cell>
          <cell r="BO26" t="e">
            <v>#NAME?</v>
          </cell>
          <cell r="BP26" t="e">
            <v>#NAME?</v>
          </cell>
          <cell r="BQ26" t="e">
            <v>#NAME?</v>
          </cell>
          <cell r="BR26" t="e">
            <v>#NAME?</v>
          </cell>
          <cell r="BS26" t="e">
            <v>#NAME?</v>
          </cell>
          <cell r="BT26" t="e">
            <v>#NAME?</v>
          </cell>
          <cell r="BU26" t="e">
            <v>#NAME?</v>
          </cell>
          <cell r="BV26" t="e">
            <v>#NAME?</v>
          </cell>
          <cell r="BW26" t="e">
            <v>#NAME?</v>
          </cell>
          <cell r="BX26" t="e">
            <v>#NAME?</v>
          </cell>
          <cell r="BY26" t="e">
            <v>#NAME?</v>
          </cell>
          <cell r="BZ26" t="e">
            <v>#NAME?</v>
          </cell>
        </row>
        <row r="27">
          <cell r="C27" t="str">
            <v>C1</v>
          </cell>
          <cell r="D27" t="str">
            <v>Beltway 2 (Inner)</v>
          </cell>
          <cell r="E27" t="e">
            <v>#NAME?</v>
          </cell>
          <cell r="F27" t="e">
            <v>#NAME?</v>
          </cell>
          <cell r="G27" t="e">
            <v>#NAME?</v>
          </cell>
          <cell r="H27" t="e">
            <v>#NAME?</v>
          </cell>
          <cell r="I27" t="e">
            <v>#NAME?</v>
          </cell>
          <cell r="J27" t="e">
            <v>#NAME?</v>
          </cell>
          <cell r="K27" t="e">
            <v>#NAME?</v>
          </cell>
          <cell r="L27" t="e">
            <v>#NAME?</v>
          </cell>
          <cell r="M27" t="e">
            <v>#NAME?</v>
          </cell>
          <cell r="N27" t="e">
            <v>#NAME?</v>
          </cell>
          <cell r="O27" t="e">
            <v>#NAME?</v>
          </cell>
          <cell r="P27" t="e">
            <v>#NAME?</v>
          </cell>
          <cell r="Q27" t="e">
            <v>#NAME?</v>
          </cell>
          <cell r="R27" t="e">
            <v>#NAME?</v>
          </cell>
          <cell r="S27" t="e">
            <v>#NAME?</v>
          </cell>
          <cell r="T27" t="e">
            <v>#NAME?</v>
          </cell>
          <cell r="U27" t="e">
            <v>#NAME?</v>
          </cell>
          <cell r="V27" t="e">
            <v>#NAME?</v>
          </cell>
          <cell r="W27" t="e">
            <v>#NAME?</v>
          </cell>
          <cell r="X27" t="e">
            <v>#NAME?</v>
          </cell>
          <cell r="Y27" t="e">
            <v>#NAME?</v>
          </cell>
          <cell r="Z27" t="e">
            <v>#NAME?</v>
          </cell>
          <cell r="AA27" t="e">
            <v>#NAME?</v>
          </cell>
          <cell r="AB27" t="e">
            <v>#NAME?</v>
          </cell>
          <cell r="AC27" t="e">
            <v>#NAME?</v>
          </cell>
          <cell r="AD27" t="e">
            <v>#NAME?</v>
          </cell>
          <cell r="AE27" t="e">
            <v>#NAME?</v>
          </cell>
          <cell r="AF27" t="e">
            <v>#NAME?</v>
          </cell>
          <cell r="AG27" t="e">
            <v>#NAME?</v>
          </cell>
          <cell r="AH27" t="e">
            <v>#NAME?</v>
          </cell>
          <cell r="AI27" t="e">
            <v>#NAME?</v>
          </cell>
          <cell r="AJ27" t="e">
            <v>#NAME?</v>
          </cell>
          <cell r="AK27" t="e">
            <v>#NAME?</v>
          </cell>
          <cell r="AL27" t="e">
            <v>#NAME?</v>
          </cell>
          <cell r="AM27" t="e">
            <v>#NAME?</v>
          </cell>
          <cell r="AN27" t="e">
            <v>#NAME?</v>
          </cell>
          <cell r="AO27" t="e">
            <v>#NAME?</v>
          </cell>
          <cell r="AP27" t="e">
            <v>#NAME?</v>
          </cell>
          <cell r="AQ27" t="e">
            <v>#NAME?</v>
          </cell>
          <cell r="AR27" t="e">
            <v>#NAME?</v>
          </cell>
          <cell r="AS27" t="e">
            <v>#NAME?</v>
          </cell>
          <cell r="AT27" t="e">
            <v>#NAME?</v>
          </cell>
          <cell r="AU27" t="e">
            <v>#NAME?</v>
          </cell>
          <cell r="AV27" t="e">
            <v>#NAME?</v>
          </cell>
          <cell r="AW27" t="e">
            <v>#NAME?</v>
          </cell>
          <cell r="AX27" t="e">
            <v>#NAME?</v>
          </cell>
          <cell r="AY27" t="e">
            <v>#NAME?</v>
          </cell>
          <cell r="AZ27" t="e">
            <v>#NAME?</v>
          </cell>
          <cell r="BA27" t="e">
            <v>#NAME?</v>
          </cell>
          <cell r="BB27" t="e">
            <v>#NAME?</v>
          </cell>
          <cell r="BC27" t="e">
            <v>#NAME?</v>
          </cell>
          <cell r="BD27" t="e">
            <v>#NAME?</v>
          </cell>
          <cell r="BE27" t="e">
            <v>#NAME?</v>
          </cell>
          <cell r="BF27" t="e">
            <v>#NAME?</v>
          </cell>
          <cell r="BG27" t="e">
            <v>#NAME?</v>
          </cell>
          <cell r="BH27" t="e">
            <v>#NAME?</v>
          </cell>
          <cell r="BI27" t="e">
            <v>#NAME?</v>
          </cell>
          <cell r="BJ27" t="e">
            <v>#NAME?</v>
          </cell>
          <cell r="BK27" t="e">
            <v>#NAME?</v>
          </cell>
          <cell r="BL27" t="e">
            <v>#NAME?</v>
          </cell>
          <cell r="BM27" t="e">
            <v>#NAME?</v>
          </cell>
          <cell r="BN27" t="e">
            <v>#NAME?</v>
          </cell>
          <cell r="BO27" t="e">
            <v>#NAME?</v>
          </cell>
          <cell r="BP27" t="e">
            <v>#NAME?</v>
          </cell>
          <cell r="BQ27" t="e">
            <v>#NAME?</v>
          </cell>
          <cell r="BR27" t="e">
            <v>#NAME?</v>
          </cell>
          <cell r="BS27" t="e">
            <v>#NAME?</v>
          </cell>
          <cell r="BT27" t="e">
            <v>#NAME?</v>
          </cell>
          <cell r="BU27" t="e">
            <v>#NAME?</v>
          </cell>
          <cell r="BV27" t="e">
            <v>#NAME?</v>
          </cell>
          <cell r="BW27" t="e">
            <v>#NAME?</v>
          </cell>
          <cell r="BX27" t="e">
            <v>#NAME?</v>
          </cell>
          <cell r="BY27" t="e">
            <v>#NAME?</v>
          </cell>
          <cell r="BZ27" t="e">
            <v>#NAME?</v>
          </cell>
        </row>
        <row r="28">
          <cell r="C28" t="str">
            <v>D1</v>
          </cell>
          <cell r="D28" t="str">
            <v>Radials</v>
          </cell>
          <cell r="E28" t="e">
            <v>#NAME?</v>
          </cell>
          <cell r="F28" t="e">
            <v>#NAME?</v>
          </cell>
          <cell r="G28" t="e">
            <v>#NAME?</v>
          </cell>
          <cell r="H28" t="e">
            <v>#NAME?</v>
          </cell>
          <cell r="I28" t="e">
            <v>#NAME?</v>
          </cell>
          <cell r="J28" t="e">
            <v>#NAME?</v>
          </cell>
          <cell r="K28" t="e">
            <v>#NAME?</v>
          </cell>
          <cell r="L28" t="e">
            <v>#NAME?</v>
          </cell>
          <cell r="M28" t="e">
            <v>#NAME?</v>
          </cell>
          <cell r="N28" t="e">
            <v>#NAME?</v>
          </cell>
          <cell r="O28" t="e">
            <v>#NAME?</v>
          </cell>
          <cell r="P28" t="e">
            <v>#NAME?</v>
          </cell>
          <cell r="Q28" t="e">
            <v>#NAME?</v>
          </cell>
          <cell r="R28" t="e">
            <v>#NAME?</v>
          </cell>
          <cell r="S28" t="e">
            <v>#NAME?</v>
          </cell>
          <cell r="T28" t="e">
            <v>#NAME?</v>
          </cell>
          <cell r="U28" t="e">
            <v>#NAME?</v>
          </cell>
          <cell r="V28" t="e">
            <v>#NAME?</v>
          </cell>
          <cell r="W28" t="e">
            <v>#NAME?</v>
          </cell>
          <cell r="X28" t="e">
            <v>#NAME?</v>
          </cell>
          <cell r="Y28" t="e">
            <v>#NAME?</v>
          </cell>
          <cell r="Z28" t="e">
            <v>#NAME?</v>
          </cell>
          <cell r="AA28" t="e">
            <v>#NAME?</v>
          </cell>
          <cell r="AB28" t="e">
            <v>#NAME?</v>
          </cell>
          <cell r="AC28" t="e">
            <v>#NAME?</v>
          </cell>
          <cell r="AD28" t="e">
            <v>#NAME?</v>
          </cell>
          <cell r="AE28" t="e">
            <v>#NAME?</v>
          </cell>
          <cell r="AF28" t="e">
            <v>#NAME?</v>
          </cell>
          <cell r="AG28" t="e">
            <v>#NAME?</v>
          </cell>
          <cell r="AH28" t="e">
            <v>#NAME?</v>
          </cell>
          <cell r="AI28" t="e">
            <v>#NAME?</v>
          </cell>
          <cell r="AJ28" t="e">
            <v>#NAME?</v>
          </cell>
          <cell r="AK28" t="e">
            <v>#NAME?</v>
          </cell>
          <cell r="AL28" t="e">
            <v>#NAME?</v>
          </cell>
          <cell r="AM28" t="e">
            <v>#NAME?</v>
          </cell>
          <cell r="AN28" t="e">
            <v>#NAME?</v>
          </cell>
          <cell r="AO28" t="e">
            <v>#NAME?</v>
          </cell>
          <cell r="AP28" t="e">
            <v>#NAME?</v>
          </cell>
          <cell r="AQ28" t="e">
            <v>#NAME?</v>
          </cell>
          <cell r="AR28" t="e">
            <v>#NAME?</v>
          </cell>
          <cell r="AS28" t="e">
            <v>#NAME?</v>
          </cell>
          <cell r="AT28" t="e">
            <v>#NAME?</v>
          </cell>
          <cell r="AU28" t="e">
            <v>#NAME?</v>
          </cell>
          <cell r="AV28" t="e">
            <v>#NAME?</v>
          </cell>
          <cell r="AW28" t="e">
            <v>#NAME?</v>
          </cell>
          <cell r="AX28" t="e">
            <v>#NAME?</v>
          </cell>
          <cell r="AY28" t="e">
            <v>#NAME?</v>
          </cell>
          <cell r="AZ28" t="e">
            <v>#NAME?</v>
          </cell>
          <cell r="BA28" t="e">
            <v>#NAME?</v>
          </cell>
          <cell r="BB28" t="e">
            <v>#NAME?</v>
          </cell>
          <cell r="BC28" t="e">
            <v>#NAME?</v>
          </cell>
          <cell r="BD28" t="e">
            <v>#NAME?</v>
          </cell>
          <cell r="BE28" t="e">
            <v>#NAME?</v>
          </cell>
          <cell r="BF28" t="e">
            <v>#NAME?</v>
          </cell>
          <cell r="BG28" t="e">
            <v>#NAME?</v>
          </cell>
          <cell r="BH28" t="e">
            <v>#NAME?</v>
          </cell>
          <cell r="BI28" t="e">
            <v>#NAME?</v>
          </cell>
          <cell r="BJ28" t="e">
            <v>#NAME?</v>
          </cell>
          <cell r="BK28" t="e">
            <v>#NAME?</v>
          </cell>
          <cell r="BL28" t="e">
            <v>#NAME?</v>
          </cell>
          <cell r="BM28" t="e">
            <v>#NAME?</v>
          </cell>
          <cell r="BN28" t="e">
            <v>#NAME?</v>
          </cell>
          <cell r="BO28" t="e">
            <v>#NAME?</v>
          </cell>
          <cell r="BP28" t="e">
            <v>#NAME?</v>
          </cell>
          <cell r="BQ28" t="e">
            <v>#NAME?</v>
          </cell>
          <cell r="BR28" t="e">
            <v>#NAME?</v>
          </cell>
          <cell r="BS28" t="e">
            <v>#NAME?</v>
          </cell>
          <cell r="BT28" t="e">
            <v>#NAME?</v>
          </cell>
          <cell r="BU28" t="e">
            <v>#NAME?</v>
          </cell>
          <cell r="BV28" t="e">
            <v>#NAME?</v>
          </cell>
          <cell r="BW28" t="e">
            <v>#NAME?</v>
          </cell>
          <cell r="BX28" t="e">
            <v>#NAME?</v>
          </cell>
          <cell r="BY28" t="e">
            <v>#NAME?</v>
          </cell>
          <cell r="BZ28" t="e">
            <v>#NAME?</v>
          </cell>
        </row>
        <row r="29">
          <cell r="C29" t="str">
            <v>E1</v>
          </cell>
          <cell r="D29" t="str">
            <v>LRTP + Illustrative and Super Arterials</v>
          </cell>
          <cell r="E29" t="e">
            <v>#NAME?</v>
          </cell>
          <cell r="F29" t="e">
            <v>#NAME?</v>
          </cell>
          <cell r="G29" t="e">
            <v>#NAME?</v>
          </cell>
          <cell r="H29" t="e">
            <v>#NAME?</v>
          </cell>
          <cell r="I29" t="e">
            <v>#NAME?</v>
          </cell>
          <cell r="J29" t="e">
            <v>#NAME?</v>
          </cell>
          <cell r="K29" t="e">
            <v>#NAME?</v>
          </cell>
          <cell r="L29" t="e">
            <v>#NAME?</v>
          </cell>
          <cell r="M29" t="e">
            <v>#NAME?</v>
          </cell>
          <cell r="N29" t="e">
            <v>#NAME?</v>
          </cell>
          <cell r="O29" t="e">
            <v>#NAME?</v>
          </cell>
          <cell r="P29" t="e">
            <v>#NAME?</v>
          </cell>
          <cell r="Q29" t="e">
            <v>#NAME?</v>
          </cell>
          <cell r="R29" t="e">
            <v>#NAME?</v>
          </cell>
          <cell r="S29" t="e">
            <v>#NAME?</v>
          </cell>
          <cell r="T29" t="e">
            <v>#NAME?</v>
          </cell>
          <cell r="U29" t="e">
            <v>#NAME?</v>
          </cell>
          <cell r="V29" t="e">
            <v>#NAME?</v>
          </cell>
          <cell r="W29" t="e">
            <v>#NAME?</v>
          </cell>
          <cell r="X29" t="e">
            <v>#NAME?</v>
          </cell>
          <cell r="Y29" t="e">
            <v>#NAME?</v>
          </cell>
          <cell r="Z29" t="e">
            <v>#NAME?</v>
          </cell>
          <cell r="AA29" t="e">
            <v>#NAME?</v>
          </cell>
          <cell r="AB29" t="e">
            <v>#NAME?</v>
          </cell>
          <cell r="AC29" t="e">
            <v>#NAME?</v>
          </cell>
          <cell r="AD29" t="e">
            <v>#NAME?</v>
          </cell>
          <cell r="AE29" t="e">
            <v>#NAME?</v>
          </cell>
          <cell r="AF29" t="e">
            <v>#NAME?</v>
          </cell>
          <cell r="AG29" t="e">
            <v>#NAME?</v>
          </cell>
          <cell r="AH29" t="e">
            <v>#NAME?</v>
          </cell>
          <cell r="AI29" t="e">
            <v>#NAME?</v>
          </cell>
          <cell r="AJ29" t="e">
            <v>#NAME?</v>
          </cell>
          <cell r="AK29" t="e">
            <v>#NAME?</v>
          </cell>
          <cell r="AL29" t="e">
            <v>#NAME?</v>
          </cell>
          <cell r="AM29" t="e">
            <v>#NAME?</v>
          </cell>
          <cell r="AN29" t="e">
            <v>#NAME?</v>
          </cell>
          <cell r="AO29" t="e">
            <v>#NAME?</v>
          </cell>
          <cell r="AP29" t="e">
            <v>#NAME?</v>
          </cell>
          <cell r="AQ29" t="e">
            <v>#NAME?</v>
          </cell>
          <cell r="AR29" t="e">
            <v>#NAME?</v>
          </cell>
          <cell r="AS29" t="e">
            <v>#NAME?</v>
          </cell>
          <cell r="AT29" t="e">
            <v>#NAME?</v>
          </cell>
          <cell r="AU29" t="e">
            <v>#NAME?</v>
          </cell>
          <cell r="AV29" t="e">
            <v>#NAME?</v>
          </cell>
          <cell r="AW29" t="e">
            <v>#NAME?</v>
          </cell>
          <cell r="AX29" t="e">
            <v>#NAME?</v>
          </cell>
          <cell r="AY29" t="e">
            <v>#NAME?</v>
          </cell>
          <cell r="AZ29" t="e">
            <v>#NAME?</v>
          </cell>
          <cell r="BA29" t="e">
            <v>#NAME?</v>
          </cell>
          <cell r="BB29" t="e">
            <v>#NAME?</v>
          </cell>
          <cell r="BC29" t="e">
            <v>#NAME?</v>
          </cell>
          <cell r="BD29" t="e">
            <v>#NAME?</v>
          </cell>
          <cell r="BE29" t="e">
            <v>#NAME?</v>
          </cell>
          <cell r="BF29" t="e">
            <v>#NAME?</v>
          </cell>
          <cell r="BG29" t="e">
            <v>#NAME?</v>
          </cell>
          <cell r="BH29" t="e">
            <v>#NAME?</v>
          </cell>
          <cell r="BI29" t="e">
            <v>#NAME?</v>
          </cell>
          <cell r="BJ29" t="e">
            <v>#NAME?</v>
          </cell>
          <cell r="BK29" t="e">
            <v>#NAME?</v>
          </cell>
          <cell r="BL29" t="e">
            <v>#NAME?</v>
          </cell>
          <cell r="BM29" t="e">
            <v>#NAME?</v>
          </cell>
          <cell r="BN29" t="e">
            <v>#NAME?</v>
          </cell>
          <cell r="BO29" t="e">
            <v>#NAME?</v>
          </cell>
          <cell r="BP29" t="e">
            <v>#NAME?</v>
          </cell>
          <cell r="BQ29" t="e">
            <v>#NAME?</v>
          </cell>
          <cell r="BR29" t="e">
            <v>#NAME?</v>
          </cell>
          <cell r="BS29" t="e">
            <v>#NAME?</v>
          </cell>
          <cell r="BT29" t="e">
            <v>#NAME?</v>
          </cell>
          <cell r="BU29" t="e">
            <v>#NAME?</v>
          </cell>
          <cell r="BV29" t="e">
            <v>#NAME?</v>
          </cell>
          <cell r="BW29" t="e">
            <v>#NAME?</v>
          </cell>
          <cell r="BX29" t="e">
            <v>#NAME?</v>
          </cell>
          <cell r="BY29" t="e">
            <v>#NAME?</v>
          </cell>
          <cell r="BZ29" t="e">
            <v>#NAME?</v>
          </cell>
        </row>
        <row r="30">
          <cell r="C30" t="str">
            <v>F1</v>
          </cell>
          <cell r="D30" t="str">
            <v>Transit</v>
          </cell>
          <cell r="E30" t="e">
            <v>#NAME?</v>
          </cell>
          <cell r="F30" t="e">
            <v>#NAME?</v>
          </cell>
          <cell r="G30" t="e">
            <v>#NAME?</v>
          </cell>
          <cell r="H30" t="e">
            <v>#NAME?</v>
          </cell>
          <cell r="I30" t="e">
            <v>#NAME?</v>
          </cell>
          <cell r="J30" t="e">
            <v>#NAME?</v>
          </cell>
          <cell r="K30" t="e">
            <v>#NAME?</v>
          </cell>
          <cell r="L30" t="e">
            <v>#NAME?</v>
          </cell>
          <cell r="M30" t="e">
            <v>#NAME?</v>
          </cell>
          <cell r="N30" t="e">
            <v>#NAME?</v>
          </cell>
          <cell r="O30" t="e">
            <v>#NAME?</v>
          </cell>
          <cell r="P30" t="e">
            <v>#NAME?</v>
          </cell>
          <cell r="Q30" t="e">
            <v>#NAME?</v>
          </cell>
          <cell r="R30" t="e">
            <v>#NAME?</v>
          </cell>
          <cell r="S30" t="e">
            <v>#NAME?</v>
          </cell>
          <cell r="T30" t="e">
            <v>#NAME?</v>
          </cell>
          <cell r="U30" t="e">
            <v>#NAME?</v>
          </cell>
          <cell r="V30" t="e">
            <v>#NAME?</v>
          </cell>
          <cell r="W30" t="e">
            <v>#NAME?</v>
          </cell>
          <cell r="X30" t="e">
            <v>#NAME?</v>
          </cell>
          <cell r="Y30" t="e">
            <v>#NAME?</v>
          </cell>
          <cell r="Z30" t="e">
            <v>#NAME?</v>
          </cell>
          <cell r="AA30" t="e">
            <v>#NAME?</v>
          </cell>
          <cell r="AB30" t="e">
            <v>#NAME?</v>
          </cell>
          <cell r="AC30" t="e">
            <v>#NAME?</v>
          </cell>
          <cell r="AD30" t="e">
            <v>#NAME?</v>
          </cell>
          <cell r="AE30" t="e">
            <v>#NAME?</v>
          </cell>
          <cell r="AF30" t="e">
            <v>#NAME?</v>
          </cell>
          <cell r="AG30" t="e">
            <v>#NAME?</v>
          </cell>
          <cell r="AH30" t="e">
            <v>#NAME?</v>
          </cell>
          <cell r="AI30" t="e">
            <v>#NAME?</v>
          </cell>
          <cell r="AJ30" t="e">
            <v>#NAME?</v>
          </cell>
          <cell r="AK30" t="e">
            <v>#NAME?</v>
          </cell>
          <cell r="AL30" t="e">
            <v>#NAME?</v>
          </cell>
          <cell r="AM30" t="e">
            <v>#NAME?</v>
          </cell>
          <cell r="AN30" t="e">
            <v>#NAME?</v>
          </cell>
          <cell r="AO30" t="e">
            <v>#NAME?</v>
          </cell>
          <cell r="AP30" t="e">
            <v>#NAME?</v>
          </cell>
          <cell r="AQ30" t="e">
            <v>#NAME?</v>
          </cell>
          <cell r="AR30" t="e">
            <v>#NAME?</v>
          </cell>
          <cell r="AS30" t="e">
            <v>#NAME?</v>
          </cell>
          <cell r="AT30" t="e">
            <v>#NAME?</v>
          </cell>
          <cell r="AU30" t="e">
            <v>#NAME?</v>
          </cell>
          <cell r="AV30" t="e">
            <v>#NAME?</v>
          </cell>
          <cell r="AW30" t="e">
            <v>#NAME?</v>
          </cell>
          <cell r="AX30" t="e">
            <v>#NAME?</v>
          </cell>
          <cell r="AY30" t="e">
            <v>#NAME?</v>
          </cell>
          <cell r="AZ30" t="e">
            <v>#NAME?</v>
          </cell>
          <cell r="BA30" t="e">
            <v>#NAME?</v>
          </cell>
          <cell r="BB30" t="e">
            <v>#NAME?</v>
          </cell>
          <cell r="BC30" t="e">
            <v>#NAME?</v>
          </cell>
          <cell r="BD30" t="e">
            <v>#NAME?</v>
          </cell>
          <cell r="BE30" t="e">
            <v>#NAME?</v>
          </cell>
          <cell r="BF30" t="e">
            <v>#NAME?</v>
          </cell>
          <cell r="BG30" t="e">
            <v>#NAME?</v>
          </cell>
          <cell r="BH30" t="e">
            <v>#NAME?</v>
          </cell>
          <cell r="BI30" t="e">
            <v>#NAME?</v>
          </cell>
          <cell r="BJ30" t="e">
            <v>#NAME?</v>
          </cell>
          <cell r="BK30" t="e">
            <v>#NAME?</v>
          </cell>
          <cell r="BL30" t="e">
            <v>#NAME?</v>
          </cell>
          <cell r="BM30" t="e">
            <v>#NAME?</v>
          </cell>
          <cell r="BN30" t="e">
            <v>#NAME?</v>
          </cell>
          <cell r="BO30" t="e">
            <v>#NAME?</v>
          </cell>
          <cell r="BP30" t="e">
            <v>#NAME?</v>
          </cell>
          <cell r="BQ30" t="e">
            <v>#NAME?</v>
          </cell>
          <cell r="BR30" t="e">
            <v>#NAME?</v>
          </cell>
          <cell r="BS30" t="e">
            <v>#NAME?</v>
          </cell>
          <cell r="BT30" t="e">
            <v>#NAME?</v>
          </cell>
          <cell r="BU30" t="e">
            <v>#NAME?</v>
          </cell>
          <cell r="BV30" t="e">
            <v>#NAME?</v>
          </cell>
          <cell r="BW30" t="e">
            <v>#NAME?</v>
          </cell>
          <cell r="BX30" t="e">
            <v>#NAME?</v>
          </cell>
          <cell r="BY30" t="e">
            <v>#NAME?</v>
          </cell>
          <cell r="BZ30" t="e">
            <v>#NAME?</v>
          </cell>
        </row>
        <row r="42">
          <cell r="C42" t="str">
            <v>A1</v>
          </cell>
          <cell r="D42" t="str">
            <v>2035 LRTP Expanded (BASE)</v>
          </cell>
        </row>
        <row r="43">
          <cell r="C43" t="str">
            <v>B1</v>
          </cell>
          <cell r="D43" t="str">
            <v>Beltway 1 (Outer)</v>
          </cell>
          <cell r="F43" t="e">
            <v>#NAME?</v>
          </cell>
          <cell r="G43" t="e">
            <v>#NAME?</v>
          </cell>
          <cell r="H43" t="e">
            <v>#NAME?</v>
          </cell>
          <cell r="I43" t="e">
            <v>#NAME?</v>
          </cell>
          <cell r="J43" t="e">
            <v>#NAME?</v>
          </cell>
          <cell r="K43" t="e">
            <v>#NAME?</v>
          </cell>
          <cell r="L43" t="e">
            <v>#NAME?</v>
          </cell>
          <cell r="M43" t="e">
            <v>#NAME?</v>
          </cell>
          <cell r="N43" t="e">
            <v>#NAME?</v>
          </cell>
          <cell r="O43" t="e">
            <v>#NAME?</v>
          </cell>
          <cell r="P43" t="e">
            <v>#NAME?</v>
          </cell>
          <cell r="Q43" t="e">
            <v>#NAME?</v>
          </cell>
          <cell r="R43" t="e">
            <v>#NAME?</v>
          </cell>
          <cell r="S43" t="e">
            <v>#NAME?</v>
          </cell>
          <cell r="T43" t="e">
            <v>#NAME?</v>
          </cell>
          <cell r="U43" t="e">
            <v>#NAME?</v>
          </cell>
          <cell r="V43" t="e">
            <v>#NAME?</v>
          </cell>
          <cell r="W43" t="e">
            <v>#NAME?</v>
          </cell>
          <cell r="X43" t="e">
            <v>#NAME?</v>
          </cell>
          <cell r="Y43" t="e">
            <v>#NAME?</v>
          </cell>
          <cell r="Z43" t="e">
            <v>#NAME?</v>
          </cell>
          <cell r="AA43" t="e">
            <v>#NAME?</v>
          </cell>
          <cell r="AB43" t="e">
            <v>#NAME?</v>
          </cell>
          <cell r="AC43" t="e">
            <v>#NAME?</v>
          </cell>
          <cell r="AD43" t="e">
            <v>#NAME?</v>
          </cell>
          <cell r="AE43" t="e">
            <v>#NAME?</v>
          </cell>
          <cell r="AF43" t="e">
            <v>#NAME?</v>
          </cell>
          <cell r="AG43" t="e">
            <v>#NAME?</v>
          </cell>
          <cell r="AH43" t="e">
            <v>#NAME?</v>
          </cell>
          <cell r="AI43" t="e">
            <v>#NAME?</v>
          </cell>
          <cell r="AJ43" t="e">
            <v>#NAME?</v>
          </cell>
          <cell r="AK43" t="e">
            <v>#NAME?</v>
          </cell>
          <cell r="AL43" t="e">
            <v>#NAME?</v>
          </cell>
          <cell r="AM43" t="e">
            <v>#NAME?</v>
          </cell>
          <cell r="AN43" t="e">
            <v>#NAME?</v>
          </cell>
          <cell r="AO43" t="e">
            <v>#NAME?</v>
          </cell>
          <cell r="AP43" t="e">
            <v>#NAME?</v>
          </cell>
          <cell r="AQ43" t="e">
            <v>#NAME?</v>
          </cell>
          <cell r="AR43" t="e">
            <v>#NAME?</v>
          </cell>
          <cell r="AS43" t="e">
            <v>#NAME?</v>
          </cell>
          <cell r="AT43" t="e">
            <v>#NAME?</v>
          </cell>
          <cell r="AU43" t="e">
            <v>#NAME?</v>
          </cell>
          <cell r="AV43" t="e">
            <v>#NAME?</v>
          </cell>
          <cell r="AW43" t="e">
            <v>#NAME?</v>
          </cell>
          <cell r="AX43" t="e">
            <v>#NAME?</v>
          </cell>
          <cell r="AY43" t="e">
            <v>#NAME?</v>
          </cell>
          <cell r="AZ43" t="e">
            <v>#NAME?</v>
          </cell>
          <cell r="BA43" t="e">
            <v>#NAME?</v>
          </cell>
          <cell r="BB43" t="e">
            <v>#NAME?</v>
          </cell>
          <cell r="BC43" t="e">
            <v>#NAME?</v>
          </cell>
          <cell r="BD43" t="e">
            <v>#NAME?</v>
          </cell>
          <cell r="BE43" t="e">
            <v>#NAME?</v>
          </cell>
          <cell r="BF43" t="e">
            <v>#NAME?</v>
          </cell>
          <cell r="BG43" t="e">
            <v>#NAME?</v>
          </cell>
          <cell r="BH43" t="e">
            <v>#NAME?</v>
          </cell>
          <cell r="BI43" t="e">
            <v>#NAME?</v>
          </cell>
          <cell r="BJ43" t="e">
            <v>#NAME?</v>
          </cell>
          <cell r="BK43" t="e">
            <v>#NAME?</v>
          </cell>
          <cell r="BL43" t="e">
            <v>#NAME?</v>
          </cell>
          <cell r="BM43" t="e">
            <v>#NAME?</v>
          </cell>
          <cell r="BN43" t="e">
            <v>#NAME?</v>
          </cell>
          <cell r="BO43" t="e">
            <v>#NAME?</v>
          </cell>
          <cell r="BP43" t="e">
            <v>#NAME?</v>
          </cell>
          <cell r="BQ43" t="e">
            <v>#NAME?</v>
          </cell>
          <cell r="BR43" t="e">
            <v>#NAME?</v>
          </cell>
          <cell r="BS43" t="e">
            <v>#NAME?</v>
          </cell>
          <cell r="BT43" t="e">
            <v>#NAME?</v>
          </cell>
          <cell r="BU43" t="e">
            <v>#NAME?</v>
          </cell>
          <cell r="BV43" t="e">
            <v>#NAME?</v>
          </cell>
          <cell r="BW43" t="e">
            <v>#NAME?</v>
          </cell>
          <cell r="BX43" t="e">
            <v>#NAME?</v>
          </cell>
          <cell r="BY43" t="e">
            <v>#NAME?</v>
          </cell>
          <cell r="BZ43" t="e">
            <v>#NAME?</v>
          </cell>
        </row>
        <row r="44">
          <cell r="C44" t="str">
            <v>C1</v>
          </cell>
          <cell r="D44" t="str">
            <v>Beltway 2 (Inner)</v>
          </cell>
          <cell r="F44" t="e">
            <v>#NAME?</v>
          </cell>
          <cell r="G44" t="e">
            <v>#NAME?</v>
          </cell>
          <cell r="H44" t="e">
            <v>#NAME?</v>
          </cell>
          <cell r="I44" t="e">
            <v>#NAME?</v>
          </cell>
          <cell r="J44" t="e">
            <v>#NAME?</v>
          </cell>
          <cell r="K44" t="e">
            <v>#NAME?</v>
          </cell>
          <cell r="L44" t="e">
            <v>#NAME?</v>
          </cell>
          <cell r="M44" t="e">
            <v>#NAME?</v>
          </cell>
          <cell r="N44" t="e">
            <v>#NAME?</v>
          </cell>
          <cell r="O44" t="e">
            <v>#NAME?</v>
          </cell>
          <cell r="P44" t="e">
            <v>#NAME?</v>
          </cell>
          <cell r="Q44" t="e">
            <v>#NAME?</v>
          </cell>
          <cell r="R44" t="e">
            <v>#NAME?</v>
          </cell>
          <cell r="S44" t="e">
            <v>#NAME?</v>
          </cell>
          <cell r="T44" t="e">
            <v>#NAME?</v>
          </cell>
          <cell r="U44" t="e">
            <v>#NAME?</v>
          </cell>
          <cell r="V44" t="e">
            <v>#NAME?</v>
          </cell>
          <cell r="W44" t="e">
            <v>#NAME?</v>
          </cell>
          <cell r="X44" t="e">
            <v>#NAME?</v>
          </cell>
          <cell r="Y44" t="e">
            <v>#NAME?</v>
          </cell>
          <cell r="Z44" t="e">
            <v>#NAME?</v>
          </cell>
          <cell r="AA44" t="e">
            <v>#NAME?</v>
          </cell>
          <cell r="AB44" t="e">
            <v>#NAME?</v>
          </cell>
          <cell r="AC44" t="e">
            <v>#NAME?</v>
          </cell>
          <cell r="AD44" t="e">
            <v>#NAME?</v>
          </cell>
          <cell r="AE44" t="e">
            <v>#NAME?</v>
          </cell>
          <cell r="AF44" t="e">
            <v>#NAME?</v>
          </cell>
          <cell r="AG44" t="e">
            <v>#NAME?</v>
          </cell>
          <cell r="AH44" t="e">
            <v>#NAME?</v>
          </cell>
          <cell r="AI44" t="e">
            <v>#NAME?</v>
          </cell>
          <cell r="AJ44" t="e">
            <v>#NAME?</v>
          </cell>
          <cell r="AK44" t="e">
            <v>#NAME?</v>
          </cell>
          <cell r="AL44" t="e">
            <v>#NAME?</v>
          </cell>
          <cell r="AM44" t="e">
            <v>#NAME?</v>
          </cell>
          <cell r="AN44" t="e">
            <v>#NAME?</v>
          </cell>
          <cell r="AO44" t="e">
            <v>#NAME?</v>
          </cell>
          <cell r="AP44" t="e">
            <v>#NAME?</v>
          </cell>
          <cell r="AQ44" t="e">
            <v>#NAME?</v>
          </cell>
          <cell r="AR44" t="e">
            <v>#NAME?</v>
          </cell>
          <cell r="AS44" t="e">
            <v>#NAME?</v>
          </cell>
          <cell r="AT44" t="e">
            <v>#NAME?</v>
          </cell>
          <cell r="AU44" t="e">
            <v>#NAME?</v>
          </cell>
          <cell r="AV44" t="e">
            <v>#NAME?</v>
          </cell>
          <cell r="AW44" t="e">
            <v>#NAME?</v>
          </cell>
          <cell r="AX44" t="e">
            <v>#NAME?</v>
          </cell>
          <cell r="AY44" t="e">
            <v>#NAME?</v>
          </cell>
          <cell r="AZ44" t="e">
            <v>#NAME?</v>
          </cell>
          <cell r="BA44" t="e">
            <v>#NAME?</v>
          </cell>
          <cell r="BB44" t="e">
            <v>#NAME?</v>
          </cell>
          <cell r="BC44" t="e">
            <v>#NAME?</v>
          </cell>
          <cell r="BD44" t="e">
            <v>#NAME?</v>
          </cell>
          <cell r="BE44" t="e">
            <v>#NAME?</v>
          </cell>
          <cell r="BF44" t="e">
            <v>#NAME?</v>
          </cell>
          <cell r="BG44" t="e">
            <v>#NAME?</v>
          </cell>
          <cell r="BH44" t="e">
            <v>#NAME?</v>
          </cell>
          <cell r="BI44" t="e">
            <v>#NAME?</v>
          </cell>
          <cell r="BJ44" t="e">
            <v>#NAME?</v>
          </cell>
          <cell r="BK44" t="e">
            <v>#NAME?</v>
          </cell>
          <cell r="BL44" t="e">
            <v>#NAME?</v>
          </cell>
          <cell r="BM44" t="e">
            <v>#NAME?</v>
          </cell>
          <cell r="BN44" t="e">
            <v>#NAME?</v>
          </cell>
          <cell r="BO44" t="e">
            <v>#NAME?</v>
          </cell>
          <cell r="BP44" t="e">
            <v>#NAME?</v>
          </cell>
          <cell r="BQ44" t="e">
            <v>#NAME?</v>
          </cell>
          <cell r="BR44" t="e">
            <v>#NAME?</v>
          </cell>
          <cell r="BS44" t="e">
            <v>#NAME?</v>
          </cell>
          <cell r="BT44" t="e">
            <v>#NAME?</v>
          </cell>
          <cell r="BU44" t="e">
            <v>#NAME?</v>
          </cell>
          <cell r="BV44" t="e">
            <v>#NAME?</v>
          </cell>
          <cell r="BW44" t="e">
            <v>#NAME?</v>
          </cell>
          <cell r="BX44" t="e">
            <v>#NAME?</v>
          </cell>
          <cell r="BY44" t="e">
            <v>#NAME?</v>
          </cell>
          <cell r="BZ44" t="e">
            <v>#NAME?</v>
          </cell>
        </row>
        <row r="45">
          <cell r="C45" t="str">
            <v>D1</v>
          </cell>
          <cell r="D45" t="str">
            <v>Radials</v>
          </cell>
          <cell r="F45" t="e">
            <v>#NAME?</v>
          </cell>
          <cell r="G45" t="e">
            <v>#NAME?</v>
          </cell>
          <cell r="H45" t="e">
            <v>#NAME?</v>
          </cell>
          <cell r="I45" t="e">
            <v>#NAME?</v>
          </cell>
          <cell r="J45" t="e">
            <v>#NAME?</v>
          </cell>
          <cell r="K45" t="e">
            <v>#NAME?</v>
          </cell>
          <cell r="L45" t="e">
            <v>#NAME?</v>
          </cell>
          <cell r="M45" t="e">
            <v>#NAME?</v>
          </cell>
          <cell r="N45" t="e">
            <v>#NAME?</v>
          </cell>
          <cell r="O45" t="e">
            <v>#NAME?</v>
          </cell>
          <cell r="P45" t="e">
            <v>#NAME?</v>
          </cell>
          <cell r="Q45" t="e">
            <v>#NAME?</v>
          </cell>
          <cell r="R45" t="e">
            <v>#NAME?</v>
          </cell>
          <cell r="S45" t="e">
            <v>#NAME?</v>
          </cell>
          <cell r="T45" t="e">
            <v>#NAME?</v>
          </cell>
          <cell r="U45" t="e">
            <v>#NAME?</v>
          </cell>
          <cell r="V45" t="e">
            <v>#NAME?</v>
          </cell>
          <cell r="W45" t="e">
            <v>#NAME?</v>
          </cell>
          <cell r="X45" t="e">
            <v>#NAME?</v>
          </cell>
          <cell r="Y45" t="e">
            <v>#NAME?</v>
          </cell>
          <cell r="Z45" t="e">
            <v>#NAME?</v>
          </cell>
          <cell r="AA45" t="e">
            <v>#NAME?</v>
          </cell>
          <cell r="AB45" t="e">
            <v>#NAME?</v>
          </cell>
          <cell r="AC45" t="e">
            <v>#NAME?</v>
          </cell>
          <cell r="AD45" t="e">
            <v>#NAME?</v>
          </cell>
          <cell r="AE45" t="e">
            <v>#NAME?</v>
          </cell>
          <cell r="AF45" t="e">
            <v>#NAME?</v>
          </cell>
          <cell r="AG45" t="e">
            <v>#NAME?</v>
          </cell>
          <cell r="AH45" t="e">
            <v>#NAME?</v>
          </cell>
          <cell r="AI45" t="e">
            <v>#NAME?</v>
          </cell>
          <cell r="AJ45" t="e">
            <v>#NAME?</v>
          </cell>
          <cell r="AK45" t="e">
            <v>#NAME?</v>
          </cell>
          <cell r="AL45" t="e">
            <v>#NAME?</v>
          </cell>
          <cell r="AM45" t="e">
            <v>#NAME?</v>
          </cell>
          <cell r="AN45" t="e">
            <v>#NAME?</v>
          </cell>
          <cell r="AO45" t="e">
            <v>#NAME?</v>
          </cell>
          <cell r="AP45" t="e">
            <v>#NAME?</v>
          </cell>
          <cell r="AQ45" t="e">
            <v>#NAME?</v>
          </cell>
          <cell r="AR45" t="e">
            <v>#NAME?</v>
          </cell>
          <cell r="AS45" t="e">
            <v>#NAME?</v>
          </cell>
          <cell r="AT45" t="e">
            <v>#NAME?</v>
          </cell>
          <cell r="AU45" t="e">
            <v>#NAME?</v>
          </cell>
          <cell r="AV45" t="e">
            <v>#NAME?</v>
          </cell>
          <cell r="AW45" t="e">
            <v>#NAME?</v>
          </cell>
          <cell r="AX45" t="e">
            <v>#NAME?</v>
          </cell>
          <cell r="AY45" t="e">
            <v>#NAME?</v>
          </cell>
          <cell r="AZ45" t="e">
            <v>#NAME?</v>
          </cell>
          <cell r="BA45" t="e">
            <v>#NAME?</v>
          </cell>
          <cell r="BB45" t="e">
            <v>#NAME?</v>
          </cell>
          <cell r="BC45" t="e">
            <v>#NAME?</v>
          </cell>
          <cell r="BD45" t="e">
            <v>#NAME?</v>
          </cell>
          <cell r="BE45" t="e">
            <v>#NAME?</v>
          </cell>
          <cell r="BF45" t="e">
            <v>#NAME?</v>
          </cell>
          <cell r="BG45" t="e">
            <v>#NAME?</v>
          </cell>
          <cell r="BH45" t="e">
            <v>#NAME?</v>
          </cell>
          <cell r="BI45" t="e">
            <v>#NAME?</v>
          </cell>
          <cell r="BJ45" t="e">
            <v>#NAME?</v>
          </cell>
          <cell r="BK45" t="e">
            <v>#NAME?</v>
          </cell>
          <cell r="BL45" t="e">
            <v>#NAME?</v>
          </cell>
          <cell r="BM45" t="e">
            <v>#NAME?</v>
          </cell>
          <cell r="BN45" t="e">
            <v>#NAME?</v>
          </cell>
          <cell r="BO45" t="e">
            <v>#NAME?</v>
          </cell>
          <cell r="BP45" t="e">
            <v>#NAME?</v>
          </cell>
          <cell r="BQ45" t="e">
            <v>#NAME?</v>
          </cell>
          <cell r="BR45" t="e">
            <v>#NAME?</v>
          </cell>
          <cell r="BS45" t="e">
            <v>#NAME?</v>
          </cell>
          <cell r="BT45" t="e">
            <v>#NAME?</v>
          </cell>
          <cell r="BU45" t="e">
            <v>#NAME?</v>
          </cell>
          <cell r="BV45" t="e">
            <v>#NAME?</v>
          </cell>
          <cell r="BW45" t="e">
            <v>#NAME?</v>
          </cell>
          <cell r="BX45" t="e">
            <v>#NAME?</v>
          </cell>
          <cell r="BY45" t="e">
            <v>#NAME?</v>
          </cell>
          <cell r="BZ45" t="e">
            <v>#NAME?</v>
          </cell>
        </row>
        <row r="46">
          <cell r="C46" t="str">
            <v>E1</v>
          </cell>
          <cell r="D46" t="str">
            <v>LRTP + Illustrative and Super Arterials</v>
          </cell>
          <cell r="F46" t="e">
            <v>#NAME?</v>
          </cell>
          <cell r="G46" t="e">
            <v>#NAME?</v>
          </cell>
          <cell r="H46" t="e">
            <v>#NAME?</v>
          </cell>
          <cell r="I46" t="e">
            <v>#NAME?</v>
          </cell>
          <cell r="J46" t="e">
            <v>#NAME?</v>
          </cell>
          <cell r="K46" t="e">
            <v>#NAME?</v>
          </cell>
          <cell r="L46" t="e">
            <v>#NAME?</v>
          </cell>
          <cell r="M46" t="e">
            <v>#NAME?</v>
          </cell>
          <cell r="N46" t="e">
            <v>#NAME?</v>
          </cell>
          <cell r="O46" t="e">
            <v>#NAME?</v>
          </cell>
          <cell r="P46" t="e">
            <v>#NAME?</v>
          </cell>
          <cell r="Q46" t="e">
            <v>#NAME?</v>
          </cell>
          <cell r="R46" t="e">
            <v>#NAME?</v>
          </cell>
          <cell r="S46" t="e">
            <v>#NAME?</v>
          </cell>
          <cell r="T46" t="e">
            <v>#NAME?</v>
          </cell>
          <cell r="U46" t="e">
            <v>#NAME?</v>
          </cell>
          <cell r="V46" t="e">
            <v>#NAME?</v>
          </cell>
          <cell r="W46" t="e">
            <v>#NAME?</v>
          </cell>
          <cell r="X46" t="e">
            <v>#NAME?</v>
          </cell>
          <cell r="Y46" t="e">
            <v>#NAME?</v>
          </cell>
          <cell r="Z46" t="e">
            <v>#NAME?</v>
          </cell>
          <cell r="AA46" t="e">
            <v>#NAME?</v>
          </cell>
          <cell r="AB46" t="e">
            <v>#NAME?</v>
          </cell>
          <cell r="AC46" t="e">
            <v>#NAME?</v>
          </cell>
          <cell r="AD46" t="e">
            <v>#NAME?</v>
          </cell>
          <cell r="AE46" t="e">
            <v>#NAME?</v>
          </cell>
          <cell r="AF46" t="e">
            <v>#NAME?</v>
          </cell>
          <cell r="AG46" t="e">
            <v>#NAME?</v>
          </cell>
          <cell r="AH46" t="e">
            <v>#NAME?</v>
          </cell>
          <cell r="AI46" t="e">
            <v>#NAME?</v>
          </cell>
          <cell r="AJ46" t="e">
            <v>#NAME?</v>
          </cell>
          <cell r="AK46" t="e">
            <v>#NAME?</v>
          </cell>
          <cell r="AL46" t="e">
            <v>#NAME?</v>
          </cell>
          <cell r="AM46" t="e">
            <v>#NAME?</v>
          </cell>
          <cell r="AN46" t="e">
            <v>#NAME?</v>
          </cell>
          <cell r="AO46" t="e">
            <v>#NAME?</v>
          </cell>
          <cell r="AP46" t="e">
            <v>#NAME?</v>
          </cell>
          <cell r="AQ46" t="e">
            <v>#NAME?</v>
          </cell>
          <cell r="AR46" t="e">
            <v>#NAME?</v>
          </cell>
          <cell r="AS46" t="e">
            <v>#NAME?</v>
          </cell>
          <cell r="AT46" t="e">
            <v>#NAME?</v>
          </cell>
          <cell r="AU46" t="e">
            <v>#NAME?</v>
          </cell>
          <cell r="AV46" t="e">
            <v>#NAME?</v>
          </cell>
          <cell r="AW46" t="e">
            <v>#NAME?</v>
          </cell>
          <cell r="AX46" t="e">
            <v>#NAME?</v>
          </cell>
          <cell r="AY46" t="e">
            <v>#NAME?</v>
          </cell>
          <cell r="AZ46" t="e">
            <v>#NAME?</v>
          </cell>
          <cell r="BA46" t="e">
            <v>#NAME?</v>
          </cell>
          <cell r="BB46" t="e">
            <v>#NAME?</v>
          </cell>
          <cell r="BC46" t="e">
            <v>#NAME?</v>
          </cell>
          <cell r="BD46" t="e">
            <v>#NAME?</v>
          </cell>
          <cell r="BE46" t="e">
            <v>#NAME?</v>
          </cell>
          <cell r="BF46" t="e">
            <v>#NAME?</v>
          </cell>
          <cell r="BG46" t="e">
            <v>#NAME?</v>
          </cell>
          <cell r="BH46" t="e">
            <v>#NAME?</v>
          </cell>
          <cell r="BI46" t="e">
            <v>#NAME?</v>
          </cell>
          <cell r="BJ46" t="e">
            <v>#NAME?</v>
          </cell>
          <cell r="BK46" t="e">
            <v>#NAME?</v>
          </cell>
          <cell r="BL46" t="e">
            <v>#NAME?</v>
          </cell>
          <cell r="BM46" t="e">
            <v>#NAME?</v>
          </cell>
          <cell r="BN46" t="e">
            <v>#NAME?</v>
          </cell>
          <cell r="BO46" t="e">
            <v>#NAME?</v>
          </cell>
          <cell r="BP46" t="e">
            <v>#NAME?</v>
          </cell>
          <cell r="BQ46" t="e">
            <v>#NAME?</v>
          </cell>
          <cell r="BR46" t="e">
            <v>#NAME?</v>
          </cell>
          <cell r="BS46" t="e">
            <v>#NAME?</v>
          </cell>
          <cell r="BT46" t="e">
            <v>#NAME?</v>
          </cell>
          <cell r="BU46" t="e">
            <v>#NAME?</v>
          </cell>
          <cell r="BV46" t="e">
            <v>#NAME?</v>
          </cell>
          <cell r="BW46" t="e">
            <v>#NAME?</v>
          </cell>
          <cell r="BX46" t="e">
            <v>#NAME?</v>
          </cell>
          <cell r="BY46" t="e">
            <v>#NAME?</v>
          </cell>
          <cell r="BZ46" t="e">
            <v>#NAME?</v>
          </cell>
        </row>
        <row r="47">
          <cell r="C47" t="str">
            <v>F1</v>
          </cell>
          <cell r="D47" t="str">
            <v>Transit</v>
          </cell>
          <cell r="F47" t="e">
            <v>#NAME?</v>
          </cell>
          <cell r="G47" t="e">
            <v>#NAME?</v>
          </cell>
          <cell r="H47" t="e">
            <v>#NAME?</v>
          </cell>
          <cell r="I47" t="e">
            <v>#NAME?</v>
          </cell>
          <cell r="J47" t="e">
            <v>#NAME?</v>
          </cell>
          <cell r="K47" t="e">
            <v>#NAME?</v>
          </cell>
          <cell r="L47" t="e">
            <v>#NAME?</v>
          </cell>
          <cell r="M47" t="e">
            <v>#NAME?</v>
          </cell>
          <cell r="N47" t="e">
            <v>#NAME?</v>
          </cell>
          <cell r="O47" t="e">
            <v>#NAME?</v>
          </cell>
          <cell r="P47" t="e">
            <v>#NAME?</v>
          </cell>
          <cell r="Q47" t="e">
            <v>#NAME?</v>
          </cell>
          <cell r="R47" t="e">
            <v>#NAME?</v>
          </cell>
          <cell r="S47" t="e">
            <v>#NAME?</v>
          </cell>
          <cell r="T47" t="e">
            <v>#NAME?</v>
          </cell>
          <cell r="U47" t="e">
            <v>#NAME?</v>
          </cell>
          <cell r="V47" t="e">
            <v>#NAME?</v>
          </cell>
          <cell r="W47" t="e">
            <v>#NAME?</v>
          </cell>
          <cell r="X47" t="e">
            <v>#NAME?</v>
          </cell>
          <cell r="Y47" t="e">
            <v>#NAME?</v>
          </cell>
          <cell r="Z47" t="e">
            <v>#NAME?</v>
          </cell>
          <cell r="AA47" t="e">
            <v>#NAME?</v>
          </cell>
          <cell r="AB47" t="e">
            <v>#NAME?</v>
          </cell>
          <cell r="AC47" t="e">
            <v>#NAME?</v>
          </cell>
          <cell r="AD47" t="e">
            <v>#NAME?</v>
          </cell>
          <cell r="AE47" t="e">
            <v>#NAME?</v>
          </cell>
          <cell r="AF47" t="e">
            <v>#NAME?</v>
          </cell>
          <cell r="AG47" t="e">
            <v>#NAME?</v>
          </cell>
          <cell r="AH47" t="e">
            <v>#NAME?</v>
          </cell>
          <cell r="AI47" t="e">
            <v>#NAME?</v>
          </cell>
          <cell r="AJ47" t="e">
            <v>#NAME?</v>
          </cell>
          <cell r="AK47" t="e">
            <v>#NAME?</v>
          </cell>
          <cell r="AL47" t="e">
            <v>#NAME?</v>
          </cell>
          <cell r="AM47" t="e">
            <v>#NAME?</v>
          </cell>
          <cell r="AN47" t="e">
            <v>#NAME?</v>
          </cell>
          <cell r="AO47" t="e">
            <v>#NAME?</v>
          </cell>
          <cell r="AP47" t="e">
            <v>#NAME?</v>
          </cell>
          <cell r="AQ47" t="e">
            <v>#NAME?</v>
          </cell>
          <cell r="AR47" t="e">
            <v>#NAME?</v>
          </cell>
          <cell r="AS47" t="e">
            <v>#NAME?</v>
          </cell>
          <cell r="AT47" t="e">
            <v>#NAME?</v>
          </cell>
          <cell r="AU47" t="e">
            <v>#NAME?</v>
          </cell>
          <cell r="AV47" t="e">
            <v>#NAME?</v>
          </cell>
          <cell r="AW47" t="e">
            <v>#NAME?</v>
          </cell>
          <cell r="AX47" t="e">
            <v>#NAME?</v>
          </cell>
          <cell r="AY47" t="e">
            <v>#NAME?</v>
          </cell>
          <cell r="AZ47" t="e">
            <v>#NAME?</v>
          </cell>
          <cell r="BA47" t="e">
            <v>#NAME?</v>
          </cell>
          <cell r="BB47" t="e">
            <v>#NAME?</v>
          </cell>
          <cell r="BC47" t="e">
            <v>#NAME?</v>
          </cell>
          <cell r="BD47" t="e">
            <v>#NAME?</v>
          </cell>
          <cell r="BE47" t="e">
            <v>#NAME?</v>
          </cell>
          <cell r="BF47" t="e">
            <v>#NAME?</v>
          </cell>
          <cell r="BG47" t="e">
            <v>#NAME?</v>
          </cell>
          <cell r="BH47" t="e">
            <v>#NAME?</v>
          </cell>
          <cell r="BI47" t="e">
            <v>#NAME?</v>
          </cell>
          <cell r="BJ47" t="e">
            <v>#NAME?</v>
          </cell>
          <cell r="BK47" t="e">
            <v>#NAME?</v>
          </cell>
          <cell r="BL47" t="e">
            <v>#NAME?</v>
          </cell>
          <cell r="BM47" t="e">
            <v>#NAME?</v>
          </cell>
          <cell r="BN47" t="e">
            <v>#NAME?</v>
          </cell>
          <cell r="BO47" t="e">
            <v>#NAME?</v>
          </cell>
          <cell r="BP47" t="e">
            <v>#NAME?</v>
          </cell>
          <cell r="BQ47" t="e">
            <v>#NAME?</v>
          </cell>
          <cell r="BR47" t="e">
            <v>#NAME?</v>
          </cell>
          <cell r="BS47" t="e">
            <v>#NAME?</v>
          </cell>
          <cell r="BT47" t="e">
            <v>#NAME?</v>
          </cell>
          <cell r="BU47" t="e">
            <v>#NAME?</v>
          </cell>
          <cell r="BV47" t="e">
            <v>#NAME?</v>
          </cell>
          <cell r="BW47" t="e">
            <v>#NAME?</v>
          </cell>
          <cell r="BX47" t="e">
            <v>#NAME?</v>
          </cell>
          <cell r="BY47" t="e">
            <v>#NAME?</v>
          </cell>
          <cell r="BZ47" t="e">
            <v>#NAME?</v>
          </cell>
        </row>
      </sheetData>
      <sheetData sheetId="19">
        <row r="48">
          <cell r="A48" t="str">
            <v>A1</v>
          </cell>
          <cell r="B48">
            <v>17886782</v>
          </cell>
          <cell r="C48">
            <v>18348337.258064516</v>
          </cell>
          <cell r="D48">
            <v>18809892.516129032</v>
          </cell>
          <cell r="E48">
            <v>19271447.774193548</v>
          </cell>
          <cell r="F48">
            <v>19733003.032258064</v>
          </cell>
          <cell r="G48">
            <v>20194558.290322579</v>
          </cell>
          <cell r="H48">
            <v>20656113.548387095</v>
          </cell>
          <cell r="I48">
            <v>21117668.806451611</v>
          </cell>
          <cell r="J48">
            <v>21579224.064516127</v>
          </cell>
          <cell r="K48">
            <v>22040779.322580643</v>
          </cell>
          <cell r="L48">
            <v>22502334.580645159</v>
          </cell>
          <cell r="M48">
            <v>22963889.838709675</v>
          </cell>
          <cell r="N48">
            <v>23425445.096774191</v>
          </cell>
          <cell r="O48">
            <v>23887000.354838707</v>
          </cell>
          <cell r="P48">
            <v>24348555.612903222</v>
          </cell>
          <cell r="Q48">
            <v>24810110.870967738</v>
          </cell>
          <cell r="R48">
            <v>25271666.129032254</v>
          </cell>
          <cell r="S48">
            <v>25733221.38709677</v>
          </cell>
          <cell r="T48">
            <v>26194776.645161286</v>
          </cell>
          <cell r="U48">
            <v>26656331.903225802</v>
          </cell>
          <cell r="V48">
            <v>27117887.161290318</v>
          </cell>
          <cell r="W48">
            <v>27579442.419354834</v>
          </cell>
          <cell r="X48">
            <v>28040997.67741935</v>
          </cell>
          <cell r="Y48">
            <v>28502552.935483865</v>
          </cell>
          <cell r="Z48">
            <v>28964108.193548381</v>
          </cell>
          <cell r="AA48">
            <v>29425663.451612897</v>
          </cell>
          <cell r="AB48">
            <v>29887218.709677413</v>
          </cell>
          <cell r="AC48">
            <v>30348773.967741929</v>
          </cell>
          <cell r="AD48">
            <v>30810329.225806445</v>
          </cell>
          <cell r="AE48">
            <v>31271884.483870961</v>
          </cell>
          <cell r="AF48">
            <v>31733439.741935477</v>
          </cell>
          <cell r="AG48">
            <v>32194995</v>
          </cell>
          <cell r="AH48">
            <v>32425772.629032258</v>
          </cell>
          <cell r="AI48">
            <v>32656550.258064516</v>
          </cell>
          <cell r="AJ48">
            <v>32887327.887096774</v>
          </cell>
          <cell r="AK48">
            <v>33118105.516129032</v>
          </cell>
          <cell r="AL48">
            <v>33348883.14516129</v>
          </cell>
          <cell r="AM48">
            <v>33579660.774193548</v>
          </cell>
          <cell r="AN48">
            <v>33810438.403225809</v>
          </cell>
          <cell r="AO48">
            <v>34041216.032258071</v>
          </cell>
          <cell r="AP48">
            <v>34271993.661290333</v>
          </cell>
          <cell r="AQ48">
            <v>34502771.290322594</v>
          </cell>
          <cell r="AR48">
            <v>34733548.919354856</v>
          </cell>
          <cell r="AS48">
            <v>34964326.548387118</v>
          </cell>
          <cell r="AT48">
            <v>35195104.177419379</v>
          </cell>
          <cell r="AU48">
            <v>35425881.806451641</v>
          </cell>
          <cell r="AV48">
            <v>35656659.435483903</v>
          </cell>
          <cell r="AW48">
            <v>35887437.064516164</v>
          </cell>
          <cell r="AX48">
            <v>36118214.693548426</v>
          </cell>
          <cell r="AY48">
            <v>36348992.322580688</v>
          </cell>
          <cell r="AZ48">
            <v>36579769.951612949</v>
          </cell>
          <cell r="BA48">
            <v>36810547.580645211</v>
          </cell>
          <cell r="BB48">
            <v>37041325.209677473</v>
          </cell>
          <cell r="BC48">
            <v>37272102.838709734</v>
          </cell>
          <cell r="BD48">
            <v>37502880.467741996</v>
          </cell>
          <cell r="BE48">
            <v>37733658.096774258</v>
          </cell>
          <cell r="BF48">
            <v>37964435.725806519</v>
          </cell>
          <cell r="BG48">
            <v>38195213.354838781</v>
          </cell>
          <cell r="BH48">
            <v>38425990.983871043</v>
          </cell>
          <cell r="BI48">
            <v>38656768.612903304</v>
          </cell>
          <cell r="BJ48">
            <v>38887546.241935566</v>
          </cell>
          <cell r="BK48">
            <v>39118323.870967828</v>
          </cell>
          <cell r="BL48">
            <v>39349101.500000089</v>
          </cell>
          <cell r="BM48">
            <v>39579879.129032351</v>
          </cell>
          <cell r="BN48">
            <v>39810656.758064613</v>
          </cell>
          <cell r="BO48">
            <v>40041434.387096874</v>
          </cell>
          <cell r="BP48">
            <v>40272212.016129136</v>
          </cell>
          <cell r="BQ48">
            <v>40502989.645161398</v>
          </cell>
          <cell r="BR48">
            <v>40733767.274193659</v>
          </cell>
          <cell r="BS48">
            <v>40964544.903225921</v>
          </cell>
          <cell r="BT48">
            <v>41195322.532258183</v>
          </cell>
          <cell r="BU48">
            <v>41426100.161290444</v>
          </cell>
          <cell r="BV48">
            <v>41656877.790322706</v>
          </cell>
          <cell r="BW48">
            <v>41887655.419354968</v>
          </cell>
          <cell r="BX48">
            <v>42118433.048387229</v>
          </cell>
          <cell r="BY48">
            <v>42349210.677419491</v>
          </cell>
          <cell r="BZ48">
            <v>42579988.306451753</v>
          </cell>
          <cell r="CA48">
            <v>42810765.935484014</v>
          </cell>
          <cell r="CB48">
            <v>43041543.564516276</v>
          </cell>
          <cell r="CC48">
            <v>43272321.193548538</v>
          </cell>
          <cell r="CD48">
            <v>43503098.822580799</v>
          </cell>
        </row>
        <row r="49">
          <cell r="A49" t="str">
            <v>B1</v>
          </cell>
          <cell r="B49">
            <v>17886782</v>
          </cell>
          <cell r="C49">
            <v>18385144.032258064</v>
          </cell>
          <cell r="D49">
            <v>18883506.064516127</v>
          </cell>
          <cell r="E49">
            <v>19381868.096774191</v>
          </cell>
          <cell r="F49">
            <v>19880230.129032254</v>
          </cell>
          <cell r="G49">
            <v>20378592.161290318</v>
          </cell>
          <cell r="H49">
            <v>20876954.193548381</v>
          </cell>
          <cell r="I49">
            <v>21375316.225806445</v>
          </cell>
          <cell r="J49">
            <v>21873678.258064508</v>
          </cell>
          <cell r="K49">
            <v>22372040.290322572</v>
          </cell>
          <cell r="L49">
            <v>22870402.322580636</v>
          </cell>
          <cell r="M49">
            <v>23368764.354838699</v>
          </cell>
          <cell r="N49">
            <v>23867126.387096763</v>
          </cell>
          <cell r="O49">
            <v>24365488.419354826</v>
          </cell>
          <cell r="P49">
            <v>24863850.45161289</v>
          </cell>
          <cell r="Q49">
            <v>25362212.483870953</v>
          </cell>
          <cell r="R49">
            <v>25860574.516129017</v>
          </cell>
          <cell r="S49">
            <v>26358936.54838708</v>
          </cell>
          <cell r="T49">
            <v>26857298.580645144</v>
          </cell>
          <cell r="U49">
            <v>27355660.612903208</v>
          </cell>
          <cell r="V49">
            <v>27854022.645161271</v>
          </cell>
          <cell r="W49">
            <v>28352384.677419335</v>
          </cell>
          <cell r="X49">
            <v>28850746.709677398</v>
          </cell>
          <cell r="Y49">
            <v>29349108.741935462</v>
          </cell>
          <cell r="Z49">
            <v>29847470.774193525</v>
          </cell>
          <cell r="AA49">
            <v>30345832.806451589</v>
          </cell>
          <cell r="AB49">
            <v>30844194.838709652</v>
          </cell>
          <cell r="AC49">
            <v>31342556.870967716</v>
          </cell>
          <cell r="AD49">
            <v>31840918.90322578</v>
          </cell>
          <cell r="AE49">
            <v>32339280.935483843</v>
          </cell>
          <cell r="AF49">
            <v>32837642.967741907</v>
          </cell>
          <cell r="AG49">
            <v>33336005</v>
          </cell>
          <cell r="AH49">
            <v>33585186.016129032</v>
          </cell>
          <cell r="AI49">
            <v>33834367.032258064</v>
          </cell>
          <cell r="AJ49">
            <v>34083548.048387095</v>
          </cell>
          <cell r="AK49">
            <v>34332729.064516127</v>
          </cell>
          <cell r="AL49">
            <v>34581910.080645159</v>
          </cell>
          <cell r="AM49">
            <v>34831091.096774191</v>
          </cell>
          <cell r="AN49">
            <v>35080272.112903222</v>
          </cell>
          <cell r="AO49">
            <v>35329453.129032254</v>
          </cell>
          <cell r="AP49">
            <v>35578634.145161286</v>
          </cell>
          <cell r="AQ49">
            <v>35827815.161290318</v>
          </cell>
          <cell r="AR49">
            <v>36076996.17741935</v>
          </cell>
          <cell r="AS49">
            <v>36326177.193548381</v>
          </cell>
          <cell r="AT49">
            <v>36575358.209677413</v>
          </cell>
          <cell r="AU49">
            <v>36824539.225806445</v>
          </cell>
          <cell r="AV49">
            <v>37073720.241935477</v>
          </cell>
          <cell r="AW49">
            <v>37322901.258064508</v>
          </cell>
          <cell r="AX49">
            <v>37572082.27419354</v>
          </cell>
          <cell r="AY49">
            <v>37821263.290322572</v>
          </cell>
          <cell r="AZ49">
            <v>38070444.306451604</v>
          </cell>
          <cell r="BA49">
            <v>38319625.322580636</v>
          </cell>
          <cell r="BB49">
            <v>38568806.338709667</v>
          </cell>
          <cell r="BC49">
            <v>38817987.354838699</v>
          </cell>
          <cell r="BD49">
            <v>39067168.370967731</v>
          </cell>
          <cell r="BE49">
            <v>39316349.387096763</v>
          </cell>
          <cell r="BF49">
            <v>39565530.403225794</v>
          </cell>
          <cell r="BG49">
            <v>39814711.419354826</v>
          </cell>
          <cell r="BH49">
            <v>40063892.435483858</v>
          </cell>
          <cell r="BI49">
            <v>40313073.45161289</v>
          </cell>
          <cell r="BJ49">
            <v>40562254.467741922</v>
          </cell>
          <cell r="BK49">
            <v>40811435.483870953</v>
          </cell>
          <cell r="BL49">
            <v>41060616.499999985</v>
          </cell>
          <cell r="BM49">
            <v>41309797.516129017</v>
          </cell>
          <cell r="BN49">
            <v>41558978.532258049</v>
          </cell>
          <cell r="BO49">
            <v>41808159.54838708</v>
          </cell>
          <cell r="BP49">
            <v>42057340.564516112</v>
          </cell>
          <cell r="BQ49">
            <v>42306521.580645144</v>
          </cell>
          <cell r="BR49">
            <v>42555702.596774176</v>
          </cell>
          <cell r="BS49">
            <v>42804883.612903208</v>
          </cell>
          <cell r="BT49">
            <v>43054064.629032239</v>
          </cell>
          <cell r="BU49">
            <v>43303245.645161271</v>
          </cell>
          <cell r="BV49">
            <v>43552426.661290303</v>
          </cell>
          <cell r="BW49">
            <v>43801607.677419335</v>
          </cell>
          <cell r="BX49">
            <v>44050788.693548366</v>
          </cell>
          <cell r="BY49">
            <v>44299969.709677398</v>
          </cell>
          <cell r="BZ49">
            <v>44549150.72580643</v>
          </cell>
          <cell r="CA49">
            <v>44798331.741935462</v>
          </cell>
          <cell r="CB49">
            <v>45047512.758064494</v>
          </cell>
          <cell r="CC49">
            <v>45296693.774193525</v>
          </cell>
          <cell r="CD49">
            <v>45545874.790322557</v>
          </cell>
        </row>
        <row r="50">
          <cell r="A50" t="str">
            <v>C1</v>
          </cell>
          <cell r="B50">
            <v>17886782</v>
          </cell>
          <cell r="C50">
            <v>18388214.096774194</v>
          </cell>
          <cell r="D50">
            <v>18889646.193548389</v>
          </cell>
          <cell r="E50">
            <v>19391078.290322583</v>
          </cell>
          <cell r="F50">
            <v>19892510.387096778</v>
          </cell>
          <cell r="G50">
            <v>20393942.483870972</v>
          </cell>
          <cell r="H50">
            <v>20895374.580645166</v>
          </cell>
          <cell r="I50">
            <v>21396806.677419361</v>
          </cell>
          <cell r="J50">
            <v>21898238.774193555</v>
          </cell>
          <cell r="K50">
            <v>22399670.87096775</v>
          </cell>
          <cell r="L50">
            <v>22901102.967741944</v>
          </cell>
          <cell r="M50">
            <v>23402535.064516138</v>
          </cell>
          <cell r="N50">
            <v>23903967.161290333</v>
          </cell>
          <cell r="O50">
            <v>24405399.258064527</v>
          </cell>
          <cell r="P50">
            <v>24906831.354838721</v>
          </cell>
          <cell r="Q50">
            <v>25408263.451612916</v>
          </cell>
          <cell r="R50">
            <v>25909695.54838711</v>
          </cell>
          <cell r="S50">
            <v>26411127.645161305</v>
          </cell>
          <cell r="T50">
            <v>26912559.741935499</v>
          </cell>
          <cell r="U50">
            <v>27413991.838709693</v>
          </cell>
          <cell r="V50">
            <v>27915423.935483888</v>
          </cell>
          <cell r="W50">
            <v>28416856.032258082</v>
          </cell>
          <cell r="X50">
            <v>28918288.129032277</v>
          </cell>
          <cell r="Y50">
            <v>29419720.225806471</v>
          </cell>
          <cell r="Z50">
            <v>29921152.322580665</v>
          </cell>
          <cell r="AA50">
            <v>30422584.41935486</v>
          </cell>
          <cell r="AB50">
            <v>30924016.516129054</v>
          </cell>
          <cell r="AC50">
            <v>31425448.612903249</v>
          </cell>
          <cell r="AD50">
            <v>31926880.709677443</v>
          </cell>
          <cell r="AE50">
            <v>32428312.806451637</v>
          </cell>
          <cell r="AF50">
            <v>32929744.903225832</v>
          </cell>
          <cell r="AG50">
            <v>33431177</v>
          </cell>
          <cell r="AH50">
            <v>33681893.048387095</v>
          </cell>
          <cell r="AI50">
            <v>33932609.096774191</v>
          </cell>
          <cell r="AJ50">
            <v>34183325.145161286</v>
          </cell>
          <cell r="AK50">
            <v>34434041.193548381</v>
          </cell>
          <cell r="AL50">
            <v>34684757.241935477</v>
          </cell>
          <cell r="AM50">
            <v>34935473.290322572</v>
          </cell>
          <cell r="AN50">
            <v>35186189.338709667</v>
          </cell>
          <cell r="AO50">
            <v>35436905.387096763</v>
          </cell>
          <cell r="AP50">
            <v>35687621.435483858</v>
          </cell>
          <cell r="AQ50">
            <v>35938337.483870953</v>
          </cell>
          <cell r="AR50">
            <v>36189053.532258049</v>
          </cell>
          <cell r="AS50">
            <v>36439769.580645144</v>
          </cell>
          <cell r="AT50">
            <v>36690485.629032239</v>
          </cell>
          <cell r="AU50">
            <v>36941201.677419335</v>
          </cell>
          <cell r="AV50">
            <v>37191917.72580643</v>
          </cell>
          <cell r="AW50">
            <v>37442633.774193525</v>
          </cell>
          <cell r="AX50">
            <v>37693349.822580621</v>
          </cell>
          <cell r="AY50">
            <v>37944065.870967716</v>
          </cell>
          <cell r="AZ50">
            <v>38194781.919354811</v>
          </cell>
          <cell r="BA50">
            <v>38445497.967741907</v>
          </cell>
          <cell r="BB50">
            <v>38696214.016129002</v>
          </cell>
          <cell r="BC50">
            <v>38946930.064516097</v>
          </cell>
          <cell r="BD50">
            <v>39197646.112903193</v>
          </cell>
          <cell r="BE50">
            <v>39448362.161290288</v>
          </cell>
          <cell r="BF50">
            <v>39699078.209677383</v>
          </cell>
          <cell r="BG50">
            <v>39949794.258064479</v>
          </cell>
          <cell r="BH50">
            <v>40200510.306451574</v>
          </cell>
          <cell r="BI50">
            <v>40451226.354838669</v>
          </cell>
          <cell r="BJ50">
            <v>40701942.403225765</v>
          </cell>
          <cell r="BK50">
            <v>40952658.45161286</v>
          </cell>
          <cell r="BL50">
            <v>41203374.499999955</v>
          </cell>
          <cell r="BM50">
            <v>41454090.548387051</v>
          </cell>
          <cell r="BN50">
            <v>41704806.596774146</v>
          </cell>
          <cell r="BO50">
            <v>41955522.645161241</v>
          </cell>
          <cell r="BP50">
            <v>42206238.693548337</v>
          </cell>
          <cell r="BQ50">
            <v>42456954.741935432</v>
          </cell>
          <cell r="BR50">
            <v>42707670.790322527</v>
          </cell>
          <cell r="BS50">
            <v>42958386.838709623</v>
          </cell>
          <cell r="BT50">
            <v>43209102.887096718</v>
          </cell>
          <cell r="BU50">
            <v>43459818.935483813</v>
          </cell>
          <cell r="BV50">
            <v>43710534.983870909</v>
          </cell>
          <cell r="BW50">
            <v>43961251.032258004</v>
          </cell>
          <cell r="BX50">
            <v>44211967.080645099</v>
          </cell>
          <cell r="BY50">
            <v>44462683.129032195</v>
          </cell>
          <cell r="BZ50">
            <v>44713399.17741929</v>
          </cell>
          <cell r="CA50">
            <v>44964115.225806385</v>
          </cell>
          <cell r="CB50">
            <v>45214831.274193481</v>
          </cell>
          <cell r="CC50">
            <v>45465547.322580576</v>
          </cell>
          <cell r="CD50">
            <v>45716263.370967671</v>
          </cell>
        </row>
        <row r="51">
          <cell r="A51" t="str">
            <v>D1</v>
          </cell>
          <cell r="B51">
            <v>17886782</v>
          </cell>
          <cell r="C51">
            <v>18359176.193548389</v>
          </cell>
          <cell r="D51">
            <v>18831570.387096778</v>
          </cell>
          <cell r="E51">
            <v>19303964.580645166</v>
          </cell>
          <cell r="F51">
            <v>19776358.774193555</v>
          </cell>
          <cell r="G51">
            <v>20248752.967741944</v>
          </cell>
          <cell r="H51">
            <v>20721147.161290333</v>
          </cell>
          <cell r="I51">
            <v>21193541.354838721</v>
          </cell>
          <cell r="J51">
            <v>21665935.54838711</v>
          </cell>
          <cell r="K51">
            <v>22138329.741935499</v>
          </cell>
          <cell r="L51">
            <v>22610723.935483888</v>
          </cell>
          <cell r="M51">
            <v>23083118.129032277</v>
          </cell>
          <cell r="N51">
            <v>23555512.322580665</v>
          </cell>
          <cell r="O51">
            <v>24027906.516129054</v>
          </cell>
          <cell r="P51">
            <v>24500300.709677443</v>
          </cell>
          <cell r="Q51">
            <v>24972694.903225832</v>
          </cell>
          <cell r="R51">
            <v>25445089.09677422</v>
          </cell>
          <cell r="S51">
            <v>25917483.290322609</v>
          </cell>
          <cell r="T51">
            <v>26389877.483870998</v>
          </cell>
          <cell r="U51">
            <v>26862271.677419387</v>
          </cell>
          <cell r="V51">
            <v>27334665.870967776</v>
          </cell>
          <cell r="W51">
            <v>27807060.064516164</v>
          </cell>
          <cell r="X51">
            <v>28279454.258064553</v>
          </cell>
          <cell r="Y51">
            <v>28751848.451612942</v>
          </cell>
          <cell r="Z51">
            <v>29224242.645161331</v>
          </cell>
          <cell r="AA51">
            <v>29696636.838709719</v>
          </cell>
          <cell r="AB51">
            <v>30169031.032258108</v>
          </cell>
          <cell r="AC51">
            <v>30641425.225806497</v>
          </cell>
          <cell r="AD51">
            <v>31113819.419354886</v>
          </cell>
          <cell r="AE51">
            <v>31586213.612903275</v>
          </cell>
          <cell r="AF51">
            <v>32058607.806451663</v>
          </cell>
          <cell r="AG51">
            <v>32531002</v>
          </cell>
          <cell r="AH51">
            <v>32767199.096774194</v>
          </cell>
          <cell r="AI51">
            <v>33003396.193548389</v>
          </cell>
          <cell r="AJ51">
            <v>33239593.290322583</v>
          </cell>
          <cell r="AK51">
            <v>33475790.387096778</v>
          </cell>
          <cell r="AL51">
            <v>33711987.483870968</v>
          </cell>
          <cell r="AM51">
            <v>33948184.580645159</v>
          </cell>
          <cell r="AN51">
            <v>34184381.67741935</v>
          </cell>
          <cell r="AO51">
            <v>34420578.77419354</v>
          </cell>
          <cell r="AP51">
            <v>34656775.870967731</v>
          </cell>
          <cell r="AQ51">
            <v>34892972.967741922</v>
          </cell>
          <cell r="AR51">
            <v>35129170.064516112</v>
          </cell>
          <cell r="AS51">
            <v>35365367.161290303</v>
          </cell>
          <cell r="AT51">
            <v>35601564.258064494</v>
          </cell>
          <cell r="AU51">
            <v>35837761.354838684</v>
          </cell>
          <cell r="AV51">
            <v>36073958.451612875</v>
          </cell>
          <cell r="AW51">
            <v>36310155.548387066</v>
          </cell>
          <cell r="AX51">
            <v>36546352.645161256</v>
          </cell>
          <cell r="AY51">
            <v>36782549.741935447</v>
          </cell>
          <cell r="AZ51">
            <v>37018746.838709638</v>
          </cell>
          <cell r="BA51">
            <v>37254943.935483828</v>
          </cell>
          <cell r="BB51">
            <v>37491141.032258019</v>
          </cell>
          <cell r="BC51">
            <v>37727338.12903221</v>
          </cell>
          <cell r="BD51">
            <v>37963535.2258064</v>
          </cell>
          <cell r="BE51">
            <v>38199732.322580591</v>
          </cell>
          <cell r="BF51">
            <v>38435929.419354782</v>
          </cell>
          <cell r="BG51">
            <v>38672126.516128972</v>
          </cell>
          <cell r="BH51">
            <v>38908323.612903163</v>
          </cell>
          <cell r="BI51">
            <v>39144520.709677354</v>
          </cell>
          <cell r="BJ51">
            <v>39380717.806451544</v>
          </cell>
          <cell r="BK51">
            <v>39616914.903225735</v>
          </cell>
          <cell r="BL51">
            <v>39853111.999999925</v>
          </cell>
          <cell r="BM51">
            <v>40089309.096774116</v>
          </cell>
          <cell r="BN51">
            <v>40325506.193548307</v>
          </cell>
          <cell r="BO51">
            <v>40561703.290322497</v>
          </cell>
          <cell r="BP51">
            <v>40797900.387096688</v>
          </cell>
          <cell r="BQ51">
            <v>41034097.483870879</v>
          </cell>
          <cell r="BR51">
            <v>41270294.580645069</v>
          </cell>
          <cell r="BS51">
            <v>41506491.67741926</v>
          </cell>
          <cell r="BT51">
            <v>41742688.774193451</v>
          </cell>
          <cell r="BU51">
            <v>41978885.870967641</v>
          </cell>
          <cell r="BV51">
            <v>42215082.967741832</v>
          </cell>
          <cell r="BW51">
            <v>42451280.064516023</v>
          </cell>
          <cell r="BX51">
            <v>42687477.161290213</v>
          </cell>
          <cell r="BY51">
            <v>42923674.258064404</v>
          </cell>
          <cell r="BZ51">
            <v>43159871.354838595</v>
          </cell>
          <cell r="CA51">
            <v>43396068.451612785</v>
          </cell>
          <cell r="CB51">
            <v>43632265.548386976</v>
          </cell>
          <cell r="CC51">
            <v>43868462.645161167</v>
          </cell>
          <cell r="CD51">
            <v>44104659.741935357</v>
          </cell>
        </row>
        <row r="52">
          <cell r="A52" t="str">
            <v>E1</v>
          </cell>
          <cell r="B52">
            <v>17886782</v>
          </cell>
          <cell r="C52">
            <v>18365109.903225806</v>
          </cell>
          <cell r="D52">
            <v>18843437.806451611</v>
          </cell>
          <cell r="E52">
            <v>19321765.709677417</v>
          </cell>
          <cell r="F52">
            <v>19800093.612903222</v>
          </cell>
          <cell r="G52">
            <v>20278421.516129028</v>
          </cell>
          <cell r="H52">
            <v>20756749.419354834</v>
          </cell>
          <cell r="I52">
            <v>21235077.322580639</v>
          </cell>
          <cell r="J52">
            <v>21713405.225806445</v>
          </cell>
          <cell r="K52">
            <v>22191733.12903225</v>
          </cell>
          <cell r="L52">
            <v>22670061.032258056</v>
          </cell>
          <cell r="M52">
            <v>23148388.935483862</v>
          </cell>
          <cell r="N52">
            <v>23626716.838709667</v>
          </cell>
          <cell r="O52">
            <v>24105044.741935473</v>
          </cell>
          <cell r="P52">
            <v>24583372.645161279</v>
          </cell>
          <cell r="Q52">
            <v>25061700.548387084</v>
          </cell>
          <cell r="R52">
            <v>25540028.45161289</v>
          </cell>
          <cell r="S52">
            <v>26018356.354838695</v>
          </cell>
          <cell r="T52">
            <v>26496684.258064501</v>
          </cell>
          <cell r="U52">
            <v>26975012.161290307</v>
          </cell>
          <cell r="V52">
            <v>27453340.064516112</v>
          </cell>
          <cell r="W52">
            <v>27931667.967741918</v>
          </cell>
          <cell r="X52">
            <v>28409995.870967723</v>
          </cell>
          <cell r="Y52">
            <v>28888323.774193529</v>
          </cell>
          <cell r="Z52">
            <v>29366651.677419335</v>
          </cell>
          <cell r="AA52">
            <v>29844979.58064514</v>
          </cell>
          <cell r="AB52">
            <v>30323307.483870946</v>
          </cell>
          <cell r="AC52">
            <v>30801635.387096751</v>
          </cell>
          <cell r="AD52">
            <v>31279963.290322557</v>
          </cell>
          <cell r="AE52">
            <v>31758291.193548363</v>
          </cell>
          <cell r="AF52">
            <v>32236619.096774168</v>
          </cell>
          <cell r="AG52">
            <v>32714947</v>
          </cell>
          <cell r="AH52">
            <v>32954110.951612905</v>
          </cell>
          <cell r="AI52">
            <v>33193274.903225809</v>
          </cell>
          <cell r="AJ52">
            <v>33432438.854838714</v>
          </cell>
          <cell r="AK52">
            <v>33671602.806451619</v>
          </cell>
          <cell r="AL52">
            <v>33910766.758064523</v>
          </cell>
          <cell r="AM52">
            <v>34149930.709677428</v>
          </cell>
          <cell r="AN52">
            <v>34389094.661290333</v>
          </cell>
          <cell r="AO52">
            <v>34628258.612903237</v>
          </cell>
          <cell r="AP52">
            <v>34867422.564516142</v>
          </cell>
          <cell r="AQ52">
            <v>35106586.516129047</v>
          </cell>
          <cell r="AR52">
            <v>35345750.467741951</v>
          </cell>
          <cell r="AS52">
            <v>35584914.419354856</v>
          </cell>
          <cell r="AT52">
            <v>35824078.370967761</v>
          </cell>
          <cell r="AU52">
            <v>36063242.322580665</v>
          </cell>
          <cell r="AV52">
            <v>36302406.27419357</v>
          </cell>
          <cell r="AW52">
            <v>36541570.225806475</v>
          </cell>
          <cell r="AX52">
            <v>36780734.177419379</v>
          </cell>
          <cell r="AY52">
            <v>37019898.129032284</v>
          </cell>
          <cell r="AZ52">
            <v>37259062.080645189</v>
          </cell>
          <cell r="BA52">
            <v>37498226.032258093</v>
          </cell>
          <cell r="BB52">
            <v>37737389.983870998</v>
          </cell>
          <cell r="BC52">
            <v>37976553.935483903</v>
          </cell>
          <cell r="BD52">
            <v>38215717.887096807</v>
          </cell>
          <cell r="BE52">
            <v>38454881.838709712</v>
          </cell>
          <cell r="BF52">
            <v>38694045.790322617</v>
          </cell>
          <cell r="BG52">
            <v>38933209.741935521</v>
          </cell>
          <cell r="BH52">
            <v>39172373.693548426</v>
          </cell>
          <cell r="BI52">
            <v>39411537.645161331</v>
          </cell>
          <cell r="BJ52">
            <v>39650701.596774235</v>
          </cell>
          <cell r="BK52">
            <v>39889865.54838714</v>
          </cell>
          <cell r="BL52">
            <v>40129029.500000045</v>
          </cell>
          <cell r="BM52">
            <v>40368193.451612949</v>
          </cell>
          <cell r="BN52">
            <v>40607357.403225854</v>
          </cell>
          <cell r="BO52">
            <v>40846521.354838759</v>
          </cell>
          <cell r="BP52">
            <v>41085685.306451663</v>
          </cell>
          <cell r="BQ52">
            <v>41324849.258064568</v>
          </cell>
          <cell r="BR52">
            <v>41564013.209677473</v>
          </cell>
          <cell r="BS52">
            <v>41803177.161290377</v>
          </cell>
          <cell r="BT52">
            <v>42042341.112903282</v>
          </cell>
          <cell r="BU52">
            <v>42281505.064516187</v>
          </cell>
          <cell r="BV52">
            <v>42520669.016129091</v>
          </cell>
          <cell r="BW52">
            <v>42759832.967741996</v>
          </cell>
          <cell r="BX52">
            <v>42998996.919354901</v>
          </cell>
          <cell r="BY52">
            <v>43238160.870967805</v>
          </cell>
          <cell r="BZ52">
            <v>43477324.82258071</v>
          </cell>
          <cell r="CA52">
            <v>43716488.774193615</v>
          </cell>
          <cell r="CB52">
            <v>43955652.725806519</v>
          </cell>
          <cell r="CC52">
            <v>44194816.677419424</v>
          </cell>
          <cell r="CD52">
            <v>44433980.629032329</v>
          </cell>
        </row>
        <row r="53">
          <cell r="A53" t="str">
            <v>F1</v>
          </cell>
          <cell r="B53">
            <v>17886782</v>
          </cell>
          <cell r="C53">
            <v>18302484.35483871</v>
          </cell>
          <cell r="D53">
            <v>18718186.709677421</v>
          </cell>
          <cell r="E53">
            <v>19133889.064516131</v>
          </cell>
          <cell r="F53">
            <v>19549591.419354841</v>
          </cell>
          <cell r="G53">
            <v>19965293.774193551</v>
          </cell>
          <cell r="H53">
            <v>20380996.129032262</v>
          </cell>
          <cell r="I53">
            <v>20796698.483870972</v>
          </cell>
          <cell r="J53">
            <v>21212400.838709682</v>
          </cell>
          <cell r="K53">
            <v>21628103.193548393</v>
          </cell>
          <cell r="L53">
            <v>22043805.548387103</v>
          </cell>
          <cell r="M53">
            <v>22459507.903225813</v>
          </cell>
          <cell r="N53">
            <v>22875210.258064523</v>
          </cell>
          <cell r="O53">
            <v>23290912.612903234</v>
          </cell>
          <cell r="P53">
            <v>23706614.967741944</v>
          </cell>
          <cell r="Q53">
            <v>24122317.322580654</v>
          </cell>
          <cell r="R53">
            <v>24538019.677419364</v>
          </cell>
          <cell r="S53">
            <v>24953722.032258075</v>
          </cell>
          <cell r="T53">
            <v>25369424.387096785</v>
          </cell>
          <cell r="U53">
            <v>25785126.741935495</v>
          </cell>
          <cell r="V53">
            <v>26200829.096774206</v>
          </cell>
          <cell r="W53">
            <v>26616531.451612916</v>
          </cell>
          <cell r="X53">
            <v>27032233.806451626</v>
          </cell>
          <cell r="Y53">
            <v>27447936.161290336</v>
          </cell>
          <cell r="Z53">
            <v>27863638.516129047</v>
          </cell>
          <cell r="AA53">
            <v>28279340.870967757</v>
          </cell>
          <cell r="AB53">
            <v>28695043.225806467</v>
          </cell>
          <cell r="AC53">
            <v>29110745.580645178</v>
          </cell>
          <cell r="AD53">
            <v>29526447.935483888</v>
          </cell>
          <cell r="AE53">
            <v>29942150.290322598</v>
          </cell>
          <cell r="AF53">
            <v>30357852.645161308</v>
          </cell>
          <cell r="AG53">
            <v>30773555</v>
          </cell>
          <cell r="AH53">
            <v>30981406.177419353</v>
          </cell>
          <cell r="AI53">
            <v>31189257.354838707</v>
          </cell>
          <cell r="AJ53">
            <v>31397108.53225806</v>
          </cell>
          <cell r="AK53">
            <v>31604959.709677413</v>
          </cell>
          <cell r="AL53">
            <v>31812810.887096766</v>
          </cell>
          <cell r="AM53">
            <v>32020662.06451612</v>
          </cell>
          <cell r="AN53">
            <v>32228513.241935473</v>
          </cell>
          <cell r="AO53">
            <v>32436364.419354826</v>
          </cell>
          <cell r="AP53">
            <v>32644215.596774179</v>
          </cell>
          <cell r="AQ53">
            <v>32852066.774193533</v>
          </cell>
          <cell r="AR53">
            <v>33059917.951612886</v>
          </cell>
          <cell r="AS53">
            <v>33267769.129032239</v>
          </cell>
          <cell r="AT53">
            <v>33475620.306451593</v>
          </cell>
          <cell r="AU53">
            <v>33683471.483870946</v>
          </cell>
          <cell r="AV53">
            <v>33891322.661290303</v>
          </cell>
          <cell r="AW53">
            <v>34099173.83870966</v>
          </cell>
          <cell r="AX53">
            <v>34307025.016129017</v>
          </cell>
          <cell r="AY53">
            <v>34514876.193548374</v>
          </cell>
          <cell r="AZ53">
            <v>34722727.370967731</v>
          </cell>
          <cell r="BA53">
            <v>34930578.548387088</v>
          </cell>
          <cell r="BB53">
            <v>35138429.725806445</v>
          </cell>
          <cell r="BC53">
            <v>35346280.903225802</v>
          </cell>
          <cell r="BD53">
            <v>35554132.080645159</v>
          </cell>
          <cell r="BE53">
            <v>35761983.258064516</v>
          </cell>
          <cell r="BF53">
            <v>35969834.435483873</v>
          </cell>
          <cell r="BG53">
            <v>36177685.61290323</v>
          </cell>
          <cell r="BH53">
            <v>36385536.790322587</v>
          </cell>
          <cell r="BI53">
            <v>36593387.967741944</v>
          </cell>
          <cell r="BJ53">
            <v>36801239.145161301</v>
          </cell>
          <cell r="BK53">
            <v>37009090.322580658</v>
          </cell>
          <cell r="BL53">
            <v>37216941.500000015</v>
          </cell>
          <cell r="BM53">
            <v>37424792.677419372</v>
          </cell>
          <cell r="BN53">
            <v>37632643.854838729</v>
          </cell>
          <cell r="BO53">
            <v>37840495.032258086</v>
          </cell>
          <cell r="BP53">
            <v>38048346.209677443</v>
          </cell>
          <cell r="BQ53">
            <v>38256197.3870968</v>
          </cell>
          <cell r="BR53">
            <v>38464048.564516157</v>
          </cell>
          <cell r="BS53">
            <v>38671899.741935514</v>
          </cell>
          <cell r="BT53">
            <v>38879750.919354871</v>
          </cell>
          <cell r="BU53">
            <v>39087602.096774228</v>
          </cell>
          <cell r="BV53">
            <v>39295453.274193585</v>
          </cell>
          <cell r="BW53">
            <v>39503304.451612942</v>
          </cell>
          <cell r="BX53">
            <v>39711155.629032299</v>
          </cell>
          <cell r="BY53">
            <v>39919006.806451656</v>
          </cell>
          <cell r="BZ53">
            <v>40126857.983871013</v>
          </cell>
          <cell r="CA53">
            <v>40334709.16129037</v>
          </cell>
          <cell r="CB53">
            <v>40542560.338709727</v>
          </cell>
          <cell r="CC53">
            <v>40750411.516129084</v>
          </cell>
          <cell r="CD53">
            <v>40958262.693548441</v>
          </cell>
        </row>
        <row r="54">
          <cell r="A54" t="str">
            <v>A2</v>
          </cell>
          <cell r="B54">
            <v>17886782</v>
          </cell>
          <cell r="C54">
            <v>18337093.419354837</v>
          </cell>
          <cell r="D54">
            <v>18787404.838709675</v>
          </cell>
          <cell r="E54">
            <v>19237716.258064512</v>
          </cell>
          <cell r="F54">
            <v>19688027.67741935</v>
          </cell>
          <cell r="G54">
            <v>20138339.096774187</v>
          </cell>
          <cell r="H54">
            <v>20588650.516129024</v>
          </cell>
          <cell r="I54">
            <v>21038961.935483862</v>
          </cell>
          <cell r="J54">
            <v>21489273.354838699</v>
          </cell>
          <cell r="K54">
            <v>21939584.774193536</v>
          </cell>
          <cell r="L54">
            <v>22389896.193548374</v>
          </cell>
          <cell r="M54">
            <v>22840207.612903211</v>
          </cell>
          <cell r="N54">
            <v>23290519.032258049</v>
          </cell>
          <cell r="O54">
            <v>23740830.451612886</v>
          </cell>
          <cell r="P54">
            <v>24191141.870967723</v>
          </cell>
          <cell r="Q54">
            <v>24641453.290322561</v>
          </cell>
          <cell r="R54">
            <v>25091764.709677398</v>
          </cell>
          <cell r="S54">
            <v>25542076.129032236</v>
          </cell>
          <cell r="T54">
            <v>25992387.548387073</v>
          </cell>
          <cell r="U54">
            <v>26442698.96774191</v>
          </cell>
          <cell r="V54">
            <v>26893010.387096748</v>
          </cell>
          <cell r="W54">
            <v>27343321.806451585</v>
          </cell>
          <cell r="X54">
            <v>27793633.225806423</v>
          </cell>
          <cell r="Y54">
            <v>28243944.64516126</v>
          </cell>
          <cell r="Z54">
            <v>28694256.064516097</v>
          </cell>
          <cell r="AA54">
            <v>29144567.483870935</v>
          </cell>
          <cell r="AB54">
            <v>29594878.903225772</v>
          </cell>
          <cell r="AC54">
            <v>30045190.322580609</v>
          </cell>
          <cell r="AD54">
            <v>30495501.741935447</v>
          </cell>
          <cell r="AE54">
            <v>30945813.161290284</v>
          </cell>
          <cell r="AF54">
            <v>31396124.580645122</v>
          </cell>
          <cell r="AG54">
            <v>31846436</v>
          </cell>
          <cell r="AH54">
            <v>32071591.709677421</v>
          </cell>
          <cell r="AI54">
            <v>32296747.419354841</v>
          </cell>
          <cell r="AJ54">
            <v>32521903.129032262</v>
          </cell>
          <cell r="AK54">
            <v>32747058.838709682</v>
          </cell>
          <cell r="AL54">
            <v>32972214.548387103</v>
          </cell>
          <cell r="AM54">
            <v>33197370.258064523</v>
          </cell>
          <cell r="AN54">
            <v>33422525.967741944</v>
          </cell>
          <cell r="AO54">
            <v>33647681.677419364</v>
          </cell>
          <cell r="AP54">
            <v>33872837.387096785</v>
          </cell>
          <cell r="AQ54">
            <v>34097993.096774206</v>
          </cell>
          <cell r="AR54">
            <v>34323148.806451626</v>
          </cell>
          <cell r="AS54">
            <v>34548304.516129047</v>
          </cell>
          <cell r="AT54">
            <v>34773460.225806467</v>
          </cell>
          <cell r="AU54">
            <v>34998615.935483888</v>
          </cell>
          <cell r="AV54">
            <v>35223771.645161308</v>
          </cell>
          <cell r="AW54">
            <v>35448927.354838729</v>
          </cell>
          <cell r="AX54">
            <v>35674083.064516149</v>
          </cell>
          <cell r="AY54">
            <v>35899238.77419357</v>
          </cell>
          <cell r="AZ54">
            <v>36124394.483870991</v>
          </cell>
          <cell r="BA54">
            <v>36349550.193548411</v>
          </cell>
          <cell r="BB54">
            <v>36574705.903225832</v>
          </cell>
          <cell r="BC54">
            <v>36799861.612903252</v>
          </cell>
          <cell r="BD54">
            <v>37025017.322580673</v>
          </cell>
          <cell r="BE54">
            <v>37250173.032258093</v>
          </cell>
          <cell r="BF54">
            <v>37475328.741935514</v>
          </cell>
          <cell r="BG54">
            <v>37700484.451612934</v>
          </cell>
          <cell r="BH54">
            <v>37925640.161290355</v>
          </cell>
          <cell r="BI54">
            <v>38150795.870967776</v>
          </cell>
          <cell r="BJ54">
            <v>38375951.580645196</v>
          </cell>
          <cell r="BK54">
            <v>38601107.290322617</v>
          </cell>
          <cell r="BL54">
            <v>38826263.000000037</v>
          </cell>
          <cell r="BM54">
            <v>39051418.709677458</v>
          </cell>
          <cell r="BN54">
            <v>39276574.419354878</v>
          </cell>
          <cell r="BO54">
            <v>39501730.129032299</v>
          </cell>
          <cell r="BP54">
            <v>39726885.838709719</v>
          </cell>
          <cell r="BQ54">
            <v>39952041.54838714</v>
          </cell>
          <cell r="BR54">
            <v>40177197.258064561</v>
          </cell>
          <cell r="BS54">
            <v>40402352.967741981</v>
          </cell>
          <cell r="BT54">
            <v>40627508.677419402</v>
          </cell>
          <cell r="BU54">
            <v>40852664.387096822</v>
          </cell>
          <cell r="BV54">
            <v>41077820.096774243</v>
          </cell>
          <cell r="BW54">
            <v>41302975.806451663</v>
          </cell>
          <cell r="BX54">
            <v>41528131.516129084</v>
          </cell>
          <cell r="BY54">
            <v>41753287.225806504</v>
          </cell>
          <cell r="BZ54">
            <v>41978442.935483925</v>
          </cell>
          <cell r="CA54">
            <v>42203598.645161346</v>
          </cell>
          <cell r="CB54">
            <v>42428754.354838766</v>
          </cell>
          <cell r="CC54">
            <v>42653910.064516187</v>
          </cell>
          <cell r="CD54">
            <v>42879065.774193607</v>
          </cell>
        </row>
        <row r="55">
          <cell r="A55" t="str">
            <v>B2</v>
          </cell>
          <cell r="B55">
            <v>17886782</v>
          </cell>
          <cell r="C55">
            <v>18371488</v>
          </cell>
          <cell r="D55">
            <v>18856194</v>
          </cell>
          <cell r="E55">
            <v>19340900</v>
          </cell>
          <cell r="F55">
            <v>19825606</v>
          </cell>
          <cell r="G55">
            <v>20310312</v>
          </cell>
          <cell r="H55">
            <v>20795018</v>
          </cell>
          <cell r="I55">
            <v>21279724</v>
          </cell>
          <cell r="J55">
            <v>21764430</v>
          </cell>
          <cell r="K55">
            <v>22249136</v>
          </cell>
          <cell r="L55">
            <v>22733842</v>
          </cell>
          <cell r="M55">
            <v>23218548</v>
          </cell>
          <cell r="N55">
            <v>23703254</v>
          </cell>
          <cell r="O55">
            <v>24187960</v>
          </cell>
          <cell r="P55">
            <v>24672666</v>
          </cell>
          <cell r="Q55">
            <v>25157372</v>
          </cell>
          <cell r="R55">
            <v>25642078</v>
          </cell>
          <cell r="S55">
            <v>26126784</v>
          </cell>
          <cell r="T55">
            <v>26611490</v>
          </cell>
          <cell r="U55">
            <v>27096196</v>
          </cell>
          <cell r="V55">
            <v>27580902</v>
          </cell>
          <cell r="W55">
            <v>28065608</v>
          </cell>
          <cell r="X55">
            <v>28550314</v>
          </cell>
          <cell r="Y55">
            <v>29035020</v>
          </cell>
          <cell r="Z55">
            <v>29519726</v>
          </cell>
          <cell r="AA55">
            <v>30004432</v>
          </cell>
          <cell r="AB55">
            <v>30489138</v>
          </cell>
          <cell r="AC55">
            <v>30973844</v>
          </cell>
          <cell r="AD55">
            <v>31458550</v>
          </cell>
          <cell r="AE55">
            <v>31943256</v>
          </cell>
          <cell r="AF55">
            <v>32427962</v>
          </cell>
          <cell r="AG55">
            <v>32912668</v>
          </cell>
          <cell r="AH55">
            <v>33155021</v>
          </cell>
          <cell r="AI55">
            <v>33397374</v>
          </cell>
          <cell r="AJ55">
            <v>33639727</v>
          </cell>
          <cell r="AK55">
            <v>33882080</v>
          </cell>
          <cell r="AL55">
            <v>34124433</v>
          </cell>
          <cell r="AM55">
            <v>34366786</v>
          </cell>
          <cell r="AN55">
            <v>34609139</v>
          </cell>
          <cell r="AO55">
            <v>34851492</v>
          </cell>
          <cell r="AP55">
            <v>35093845</v>
          </cell>
          <cell r="AQ55">
            <v>35336198</v>
          </cell>
          <cell r="AR55">
            <v>35578551</v>
          </cell>
          <cell r="AS55">
            <v>35820904</v>
          </cell>
          <cell r="AT55">
            <v>36063257</v>
          </cell>
          <cell r="AU55">
            <v>36305610</v>
          </cell>
          <cell r="AV55">
            <v>36547963</v>
          </cell>
          <cell r="AW55">
            <v>36790316</v>
          </cell>
          <cell r="AX55">
            <v>37032669</v>
          </cell>
          <cell r="AY55">
            <v>37275022</v>
          </cell>
          <cell r="AZ55">
            <v>37517375</v>
          </cell>
          <cell r="BA55">
            <v>37759728</v>
          </cell>
          <cell r="BB55">
            <v>38002081</v>
          </cell>
          <cell r="BC55">
            <v>38244434</v>
          </cell>
          <cell r="BD55">
            <v>38486787</v>
          </cell>
          <cell r="BE55">
            <v>38729140</v>
          </cell>
          <cell r="BF55">
            <v>38971493</v>
          </cell>
          <cell r="BG55">
            <v>39213846</v>
          </cell>
          <cell r="BH55">
            <v>39456199</v>
          </cell>
          <cell r="BI55">
            <v>39698552</v>
          </cell>
          <cell r="BJ55">
            <v>39940905</v>
          </cell>
          <cell r="BK55">
            <v>40183258</v>
          </cell>
          <cell r="BL55">
            <v>40425611</v>
          </cell>
          <cell r="BM55">
            <v>40667964</v>
          </cell>
          <cell r="BN55">
            <v>40910317</v>
          </cell>
          <cell r="BO55">
            <v>41152670</v>
          </cell>
          <cell r="BP55">
            <v>41395023</v>
          </cell>
          <cell r="BQ55">
            <v>41637376</v>
          </cell>
          <cell r="BR55">
            <v>41879729</v>
          </cell>
          <cell r="BS55">
            <v>42122082</v>
          </cell>
          <cell r="BT55">
            <v>42364435</v>
          </cell>
          <cell r="BU55">
            <v>42606788</v>
          </cell>
          <cell r="BV55">
            <v>42849141</v>
          </cell>
          <cell r="BW55">
            <v>43091494</v>
          </cell>
          <cell r="BX55">
            <v>43333847</v>
          </cell>
          <cell r="BY55">
            <v>43576200</v>
          </cell>
          <cell r="BZ55">
            <v>43818553</v>
          </cell>
          <cell r="CA55">
            <v>44060906</v>
          </cell>
          <cell r="CB55">
            <v>44303259</v>
          </cell>
          <cell r="CC55">
            <v>44545612</v>
          </cell>
          <cell r="CD55">
            <v>44787965</v>
          </cell>
        </row>
        <row r="56">
          <cell r="A56" t="str">
            <v>C2</v>
          </cell>
          <cell r="B56">
            <v>17886782</v>
          </cell>
          <cell r="C56">
            <v>18375860.741935484</v>
          </cell>
          <cell r="D56">
            <v>18864939.483870968</v>
          </cell>
          <cell r="E56">
            <v>19354018.225806452</v>
          </cell>
          <cell r="F56">
            <v>19843096.967741936</v>
          </cell>
          <cell r="G56">
            <v>20332175.709677421</v>
          </cell>
          <cell r="H56">
            <v>20821254.451612905</v>
          </cell>
          <cell r="I56">
            <v>21310333.193548389</v>
          </cell>
          <cell r="J56">
            <v>21799411.935483873</v>
          </cell>
          <cell r="K56">
            <v>22288490.677419357</v>
          </cell>
          <cell r="L56">
            <v>22777569.419354841</v>
          </cell>
          <cell r="M56">
            <v>23266648.161290325</v>
          </cell>
          <cell r="N56">
            <v>23755726.903225809</v>
          </cell>
          <cell r="O56">
            <v>24244805.645161293</v>
          </cell>
          <cell r="P56">
            <v>24733884.387096778</v>
          </cell>
          <cell r="Q56">
            <v>25222963.129032262</v>
          </cell>
          <cell r="R56">
            <v>25712041.870967746</v>
          </cell>
          <cell r="S56">
            <v>26201120.61290323</v>
          </cell>
          <cell r="T56">
            <v>26690199.354838714</v>
          </cell>
          <cell r="U56">
            <v>27179278.096774198</v>
          </cell>
          <cell r="V56">
            <v>27668356.838709682</v>
          </cell>
          <cell r="W56">
            <v>28157435.580645166</v>
          </cell>
          <cell r="X56">
            <v>28646514.32258065</v>
          </cell>
          <cell r="Y56">
            <v>29135593.064516135</v>
          </cell>
          <cell r="Z56">
            <v>29624671.806451619</v>
          </cell>
          <cell r="AA56">
            <v>30113750.548387103</v>
          </cell>
          <cell r="AB56">
            <v>30602829.290322587</v>
          </cell>
          <cell r="AC56">
            <v>31091908.032258071</v>
          </cell>
          <cell r="AD56">
            <v>31580986.774193555</v>
          </cell>
          <cell r="AE56">
            <v>32070065.516129039</v>
          </cell>
          <cell r="AF56">
            <v>32559144.258064523</v>
          </cell>
          <cell r="AG56">
            <v>33048223</v>
          </cell>
          <cell r="AH56">
            <v>33292762.370967742</v>
          </cell>
          <cell r="AI56">
            <v>33537301.741935484</v>
          </cell>
          <cell r="AJ56">
            <v>33781841.112903222</v>
          </cell>
          <cell r="AK56">
            <v>34026380.483870961</v>
          </cell>
          <cell r="AL56">
            <v>34270919.854838699</v>
          </cell>
          <cell r="AM56">
            <v>34515459.225806437</v>
          </cell>
          <cell r="AN56">
            <v>34759998.596774176</v>
          </cell>
          <cell r="AO56">
            <v>35004537.967741914</v>
          </cell>
          <cell r="AP56">
            <v>35249077.338709652</v>
          </cell>
          <cell r="AQ56">
            <v>35493616.709677391</v>
          </cell>
          <cell r="AR56">
            <v>35738156.080645129</v>
          </cell>
          <cell r="AS56">
            <v>35982695.451612867</v>
          </cell>
          <cell r="AT56">
            <v>36227234.822580606</v>
          </cell>
          <cell r="AU56">
            <v>36471774.193548344</v>
          </cell>
          <cell r="AV56">
            <v>36716313.564516082</v>
          </cell>
          <cell r="AW56">
            <v>36960852.935483821</v>
          </cell>
          <cell r="AX56">
            <v>37205392.306451559</v>
          </cell>
          <cell r="AY56">
            <v>37449931.677419297</v>
          </cell>
          <cell r="AZ56">
            <v>37694471.048387036</v>
          </cell>
          <cell r="BA56">
            <v>37939010.419354774</v>
          </cell>
          <cell r="BB56">
            <v>38183549.790322512</v>
          </cell>
          <cell r="BC56">
            <v>38428089.161290251</v>
          </cell>
          <cell r="BD56">
            <v>38672628.532257989</v>
          </cell>
          <cell r="BE56">
            <v>38917167.903225727</v>
          </cell>
          <cell r="BF56">
            <v>39161707.274193466</v>
          </cell>
          <cell r="BG56">
            <v>39406246.645161204</v>
          </cell>
          <cell r="BH56">
            <v>39650786.016128942</v>
          </cell>
          <cell r="BI56">
            <v>39895325.387096681</v>
          </cell>
          <cell r="BJ56">
            <v>40139864.758064419</v>
          </cell>
          <cell r="BK56">
            <v>40384404.129032157</v>
          </cell>
          <cell r="BL56">
            <v>40628943.499999896</v>
          </cell>
          <cell r="BM56">
            <v>40873482.870967634</v>
          </cell>
          <cell r="BN56">
            <v>41118022.241935372</v>
          </cell>
          <cell r="BO56">
            <v>41362561.612903111</v>
          </cell>
          <cell r="BP56">
            <v>41607100.983870849</v>
          </cell>
          <cell r="BQ56">
            <v>41851640.354838587</v>
          </cell>
          <cell r="BR56">
            <v>42096179.725806326</v>
          </cell>
          <cell r="BS56">
            <v>42340719.096774064</v>
          </cell>
          <cell r="BT56">
            <v>42585258.467741802</v>
          </cell>
          <cell r="BU56">
            <v>42829797.838709541</v>
          </cell>
          <cell r="BV56">
            <v>43074337.209677279</v>
          </cell>
          <cell r="BW56">
            <v>43318876.580645017</v>
          </cell>
          <cell r="BX56">
            <v>43563415.951612756</v>
          </cell>
          <cell r="BY56">
            <v>43807955.322580494</v>
          </cell>
          <cell r="BZ56">
            <v>44052494.693548232</v>
          </cell>
          <cell r="CA56">
            <v>44297034.064515971</v>
          </cell>
          <cell r="CB56">
            <v>44541573.435483709</v>
          </cell>
          <cell r="CC56">
            <v>44786112.806451447</v>
          </cell>
          <cell r="CD56">
            <v>45030652.177419186</v>
          </cell>
        </row>
        <row r="57">
          <cell r="A57" t="str">
            <v>D2</v>
          </cell>
          <cell r="B57">
            <v>17886782</v>
          </cell>
          <cell r="C57">
            <v>18347032.322580647</v>
          </cell>
          <cell r="D57">
            <v>18807282.645161293</v>
          </cell>
          <cell r="E57">
            <v>19267532.96774194</v>
          </cell>
          <cell r="F57">
            <v>19727783.290322587</v>
          </cell>
          <cell r="G57">
            <v>20188033.612903234</v>
          </cell>
          <cell r="H57">
            <v>20648283.93548388</v>
          </cell>
          <cell r="I57">
            <v>21108534.258064527</v>
          </cell>
          <cell r="J57">
            <v>21568784.580645174</v>
          </cell>
          <cell r="K57">
            <v>22029034.903225821</v>
          </cell>
          <cell r="L57">
            <v>22489285.225806467</v>
          </cell>
          <cell r="M57">
            <v>22949535.548387114</v>
          </cell>
          <cell r="N57">
            <v>23409785.870967761</v>
          </cell>
          <cell r="O57">
            <v>23870036.193548407</v>
          </cell>
          <cell r="P57">
            <v>24330286.516129054</v>
          </cell>
          <cell r="Q57">
            <v>24790536.838709701</v>
          </cell>
          <cell r="R57">
            <v>25250787.161290348</v>
          </cell>
          <cell r="S57">
            <v>25711037.483870994</v>
          </cell>
          <cell r="T57">
            <v>26171287.806451641</v>
          </cell>
          <cell r="U57">
            <v>26631538.129032288</v>
          </cell>
          <cell r="V57">
            <v>27091788.451612934</v>
          </cell>
          <cell r="W57">
            <v>27552038.774193581</v>
          </cell>
          <cell r="X57">
            <v>28012289.096774228</v>
          </cell>
          <cell r="Y57">
            <v>28472539.419354875</v>
          </cell>
          <cell r="Z57">
            <v>28932789.741935521</v>
          </cell>
          <cell r="AA57">
            <v>29393040.064516168</v>
          </cell>
          <cell r="AB57">
            <v>29853290.387096815</v>
          </cell>
          <cell r="AC57">
            <v>30313540.709677462</v>
          </cell>
          <cell r="AD57">
            <v>30773791.032258108</v>
          </cell>
          <cell r="AE57">
            <v>31234041.354838755</v>
          </cell>
          <cell r="AF57">
            <v>31694291.677419402</v>
          </cell>
          <cell r="AG57">
            <v>32154542</v>
          </cell>
          <cell r="AH57">
            <v>32384667.161290321</v>
          </cell>
          <cell r="AI57">
            <v>32614792.322580643</v>
          </cell>
          <cell r="AJ57">
            <v>32844917.483870964</v>
          </cell>
          <cell r="AK57">
            <v>33075042.645161286</v>
          </cell>
          <cell r="AL57">
            <v>33305167.806451607</v>
          </cell>
          <cell r="AM57">
            <v>33535292.967741929</v>
          </cell>
          <cell r="AN57">
            <v>33765418.129032254</v>
          </cell>
          <cell r="AO57">
            <v>33995543.290322579</v>
          </cell>
          <cell r="AP57">
            <v>34225668.451612905</v>
          </cell>
          <cell r="AQ57">
            <v>34455793.61290323</v>
          </cell>
          <cell r="AR57">
            <v>34685918.774193555</v>
          </cell>
          <cell r="AS57">
            <v>34916043.93548388</v>
          </cell>
          <cell r="AT57">
            <v>35146169.096774206</v>
          </cell>
          <cell r="AU57">
            <v>35376294.258064531</v>
          </cell>
          <cell r="AV57">
            <v>35606419.419354856</v>
          </cell>
          <cell r="AW57">
            <v>35836544.580645181</v>
          </cell>
          <cell r="AX57">
            <v>36066669.741935506</v>
          </cell>
          <cell r="AY57">
            <v>36296794.903225832</v>
          </cell>
          <cell r="AZ57">
            <v>36526920.064516157</v>
          </cell>
          <cell r="BA57">
            <v>36757045.225806482</v>
          </cell>
          <cell r="BB57">
            <v>36987170.387096807</v>
          </cell>
          <cell r="BC57">
            <v>37217295.548387133</v>
          </cell>
          <cell r="BD57">
            <v>37447420.709677458</v>
          </cell>
          <cell r="BE57">
            <v>37677545.870967783</v>
          </cell>
          <cell r="BF57">
            <v>37907671.032258108</v>
          </cell>
          <cell r="BG57">
            <v>38137796.193548433</v>
          </cell>
          <cell r="BH57">
            <v>38367921.354838759</v>
          </cell>
          <cell r="BI57">
            <v>38598046.516129084</v>
          </cell>
          <cell r="BJ57">
            <v>38828171.677419409</v>
          </cell>
          <cell r="BK57">
            <v>39058296.838709734</v>
          </cell>
          <cell r="BL57">
            <v>39288422.00000006</v>
          </cell>
          <cell r="BM57">
            <v>39518547.161290385</v>
          </cell>
          <cell r="BN57">
            <v>39748672.32258071</v>
          </cell>
          <cell r="BO57">
            <v>39978797.483871035</v>
          </cell>
          <cell r="BP57">
            <v>40208922.645161361</v>
          </cell>
          <cell r="BQ57">
            <v>40439047.806451686</v>
          </cell>
          <cell r="BR57">
            <v>40669172.967742011</v>
          </cell>
          <cell r="BS57">
            <v>40899298.129032336</v>
          </cell>
          <cell r="BT57">
            <v>41129423.290322661</v>
          </cell>
          <cell r="BU57">
            <v>41359548.451612987</v>
          </cell>
          <cell r="BV57">
            <v>41589673.612903312</v>
          </cell>
          <cell r="BW57">
            <v>41819798.774193637</v>
          </cell>
          <cell r="BX57">
            <v>42049923.935483962</v>
          </cell>
          <cell r="BY57">
            <v>42280049.096774288</v>
          </cell>
          <cell r="BZ57">
            <v>42510174.258064613</v>
          </cell>
          <cell r="CA57">
            <v>42740299.419354938</v>
          </cell>
          <cell r="CB57">
            <v>42970424.580645263</v>
          </cell>
          <cell r="CC57">
            <v>43200549.741935588</v>
          </cell>
          <cell r="CD57">
            <v>43430674.903225914</v>
          </cell>
        </row>
        <row r="58">
          <cell r="A58" t="str">
            <v>E2</v>
          </cell>
          <cell r="B58">
            <v>17886782</v>
          </cell>
          <cell r="C58">
            <v>18353570.35483871</v>
          </cell>
          <cell r="D58">
            <v>18820358.709677421</v>
          </cell>
          <cell r="E58">
            <v>19287147.064516131</v>
          </cell>
          <cell r="F58">
            <v>19753935.419354841</v>
          </cell>
          <cell r="G58">
            <v>20220723.774193551</v>
          </cell>
          <cell r="H58">
            <v>20687512.129032262</v>
          </cell>
          <cell r="I58">
            <v>21154300.483870972</v>
          </cell>
          <cell r="J58">
            <v>21621088.838709682</v>
          </cell>
          <cell r="K58">
            <v>22087877.193548393</v>
          </cell>
          <cell r="L58">
            <v>22554665.548387103</v>
          </cell>
          <cell r="M58">
            <v>23021453.903225813</v>
          </cell>
          <cell r="N58">
            <v>23488242.258064523</v>
          </cell>
          <cell r="O58">
            <v>23955030.612903234</v>
          </cell>
          <cell r="P58">
            <v>24421818.967741944</v>
          </cell>
          <cell r="Q58">
            <v>24888607.322580654</v>
          </cell>
          <cell r="R58">
            <v>25355395.677419364</v>
          </cell>
          <cell r="S58">
            <v>25822184.032258075</v>
          </cell>
          <cell r="T58">
            <v>26288972.387096785</v>
          </cell>
          <cell r="U58">
            <v>26755760.741935495</v>
          </cell>
          <cell r="V58">
            <v>27222549.096774206</v>
          </cell>
          <cell r="W58">
            <v>27689337.451612916</v>
          </cell>
          <cell r="X58">
            <v>28156125.806451626</v>
          </cell>
          <cell r="Y58">
            <v>28622914.161290336</v>
          </cell>
          <cell r="Z58">
            <v>29089702.516129047</v>
          </cell>
          <cell r="AA58">
            <v>29556490.870967757</v>
          </cell>
          <cell r="AB58">
            <v>30023279.225806467</v>
          </cell>
          <cell r="AC58">
            <v>30490067.580645178</v>
          </cell>
          <cell r="AD58">
            <v>30956855.935483888</v>
          </cell>
          <cell r="AE58">
            <v>31423644.290322598</v>
          </cell>
          <cell r="AF58">
            <v>31890432.645161308</v>
          </cell>
          <cell r="AG58">
            <v>32357221</v>
          </cell>
          <cell r="AH58">
            <v>32590615.177419353</v>
          </cell>
          <cell r="AI58">
            <v>32824009.354838707</v>
          </cell>
          <cell r="AJ58">
            <v>33057403.53225806</v>
          </cell>
          <cell r="AK58">
            <v>33290797.709677413</v>
          </cell>
          <cell r="AL58">
            <v>33524191.887096766</v>
          </cell>
          <cell r="AM58">
            <v>33757586.06451612</v>
          </cell>
          <cell r="AN58">
            <v>33990980.241935477</v>
          </cell>
          <cell r="AO58">
            <v>34224374.419354834</v>
          </cell>
          <cell r="AP58">
            <v>34457768.596774191</v>
          </cell>
          <cell r="AQ58">
            <v>34691162.774193548</v>
          </cell>
          <cell r="AR58">
            <v>34924556.951612905</v>
          </cell>
          <cell r="AS58">
            <v>35157951.129032262</v>
          </cell>
          <cell r="AT58">
            <v>35391345.306451619</v>
          </cell>
          <cell r="AU58">
            <v>35624739.483870976</v>
          </cell>
          <cell r="AV58">
            <v>35858133.661290333</v>
          </cell>
          <cell r="AW58">
            <v>36091527.83870969</v>
          </cell>
          <cell r="AX58">
            <v>36324922.016129047</v>
          </cell>
          <cell r="AY58">
            <v>36558316.193548404</v>
          </cell>
          <cell r="AZ58">
            <v>36791710.370967761</v>
          </cell>
          <cell r="BA58">
            <v>37025104.548387118</v>
          </cell>
          <cell r="BB58">
            <v>37258498.725806475</v>
          </cell>
          <cell r="BC58">
            <v>37491892.903225832</v>
          </cell>
          <cell r="BD58">
            <v>37725287.080645189</v>
          </cell>
          <cell r="BE58">
            <v>37958681.258064546</v>
          </cell>
          <cell r="BF58">
            <v>38192075.435483903</v>
          </cell>
          <cell r="BG58">
            <v>38425469.61290326</v>
          </cell>
          <cell r="BH58">
            <v>38658863.790322617</v>
          </cell>
          <cell r="BI58">
            <v>38892257.967741974</v>
          </cell>
          <cell r="BJ58">
            <v>39125652.145161331</v>
          </cell>
          <cell r="BK58">
            <v>39359046.322580688</v>
          </cell>
          <cell r="BL58">
            <v>39592440.500000045</v>
          </cell>
          <cell r="BM58">
            <v>39825834.677419402</v>
          </cell>
          <cell r="BN58">
            <v>40059228.854838759</v>
          </cell>
          <cell r="BO58">
            <v>40292623.032258116</v>
          </cell>
          <cell r="BP58">
            <v>40526017.209677473</v>
          </cell>
          <cell r="BQ58">
            <v>40759411.38709683</v>
          </cell>
          <cell r="BR58">
            <v>40992805.564516187</v>
          </cell>
          <cell r="BS58">
            <v>41226199.741935544</v>
          </cell>
          <cell r="BT58">
            <v>41459593.919354901</v>
          </cell>
          <cell r="BU58">
            <v>41692988.096774258</v>
          </cell>
          <cell r="BV58">
            <v>41926382.274193615</v>
          </cell>
          <cell r="BW58">
            <v>42159776.451612972</v>
          </cell>
          <cell r="BX58">
            <v>42393170.629032329</v>
          </cell>
          <cell r="BY58">
            <v>42626564.806451686</v>
          </cell>
          <cell r="BZ58">
            <v>42859958.983871043</v>
          </cell>
          <cell r="CA58">
            <v>43093353.1612904</v>
          </cell>
          <cell r="CB58">
            <v>43326747.338709757</v>
          </cell>
          <cell r="CC58">
            <v>43560141.516129114</v>
          </cell>
          <cell r="CD58">
            <v>43793535.693548471</v>
          </cell>
        </row>
        <row r="59">
          <cell r="A59" t="str">
            <v>B3</v>
          </cell>
          <cell r="B59">
            <v>17886782</v>
          </cell>
          <cell r="C59">
            <v>18358673.193548389</v>
          </cell>
          <cell r="D59">
            <v>18830564.387096778</v>
          </cell>
          <cell r="E59">
            <v>19302455.580645166</v>
          </cell>
          <cell r="F59">
            <v>19774346.774193555</v>
          </cell>
          <cell r="G59">
            <v>20246237.967741944</v>
          </cell>
          <cell r="H59">
            <v>20718129.161290333</v>
          </cell>
          <cell r="I59">
            <v>21190020.354838721</v>
          </cell>
          <cell r="J59">
            <v>21661911.54838711</v>
          </cell>
          <cell r="K59">
            <v>22133802.741935499</v>
          </cell>
          <cell r="L59">
            <v>22605693.935483888</v>
          </cell>
          <cell r="M59">
            <v>23077585.129032277</v>
          </cell>
          <cell r="N59">
            <v>23549476.322580665</v>
          </cell>
          <cell r="O59">
            <v>24021367.516129054</v>
          </cell>
          <cell r="P59">
            <v>24493258.709677443</v>
          </cell>
          <cell r="Q59">
            <v>24965149.903225832</v>
          </cell>
          <cell r="R59">
            <v>25437041.09677422</v>
          </cell>
          <cell r="S59">
            <v>25908932.290322609</v>
          </cell>
          <cell r="T59">
            <v>26380823.483870998</v>
          </cell>
          <cell r="U59">
            <v>26852714.677419387</v>
          </cell>
          <cell r="V59">
            <v>27324605.870967776</v>
          </cell>
          <cell r="W59">
            <v>27796497.064516164</v>
          </cell>
          <cell r="X59">
            <v>28268388.258064553</v>
          </cell>
          <cell r="Y59">
            <v>28740279.451612942</v>
          </cell>
          <cell r="Z59">
            <v>29212170.645161331</v>
          </cell>
          <cell r="AA59">
            <v>29684061.838709719</v>
          </cell>
          <cell r="AB59">
            <v>30155953.032258108</v>
          </cell>
          <cell r="AC59">
            <v>30627844.225806497</v>
          </cell>
          <cell r="AD59">
            <v>31099735.419354886</v>
          </cell>
          <cell r="AE59">
            <v>31571626.612903275</v>
          </cell>
          <cell r="AF59">
            <v>32043517.806451663</v>
          </cell>
          <cell r="AG59">
            <v>32515409</v>
          </cell>
          <cell r="AH59">
            <v>32751354.596774194</v>
          </cell>
          <cell r="AI59">
            <v>32987300.193548389</v>
          </cell>
          <cell r="AJ59">
            <v>33223245.790322583</v>
          </cell>
          <cell r="AK59">
            <v>33459191.387096778</v>
          </cell>
          <cell r="AL59">
            <v>33695136.983870968</v>
          </cell>
          <cell r="AM59">
            <v>33931082.580645159</v>
          </cell>
          <cell r="AN59">
            <v>34167028.17741935</v>
          </cell>
          <cell r="AO59">
            <v>34402973.77419354</v>
          </cell>
          <cell r="AP59">
            <v>34638919.370967731</v>
          </cell>
          <cell r="AQ59">
            <v>34874864.967741922</v>
          </cell>
          <cell r="AR59">
            <v>35110810.564516112</v>
          </cell>
          <cell r="AS59">
            <v>35346756.161290303</v>
          </cell>
          <cell r="AT59">
            <v>35582701.758064494</v>
          </cell>
          <cell r="AU59">
            <v>35818647.354838684</v>
          </cell>
          <cell r="AV59">
            <v>36054592.951612875</v>
          </cell>
          <cell r="AW59">
            <v>36290538.548387066</v>
          </cell>
          <cell r="AX59">
            <v>36526484.145161256</v>
          </cell>
          <cell r="AY59">
            <v>36762429.741935447</v>
          </cell>
          <cell r="AZ59">
            <v>36998375.338709638</v>
          </cell>
          <cell r="BA59">
            <v>37234320.935483828</v>
          </cell>
          <cell r="BB59">
            <v>37470266.532258019</v>
          </cell>
          <cell r="BC59">
            <v>37706212.12903221</v>
          </cell>
          <cell r="BD59">
            <v>37942157.7258064</v>
          </cell>
          <cell r="BE59">
            <v>38178103.322580591</v>
          </cell>
          <cell r="BF59">
            <v>38414048.919354782</v>
          </cell>
          <cell r="BG59">
            <v>38649994.516128972</v>
          </cell>
          <cell r="BH59">
            <v>38885940.112903163</v>
          </cell>
          <cell r="BI59">
            <v>39121885.709677354</v>
          </cell>
          <cell r="BJ59">
            <v>39357831.306451544</v>
          </cell>
          <cell r="BK59">
            <v>39593776.903225735</v>
          </cell>
          <cell r="BL59">
            <v>39829722.499999925</v>
          </cell>
          <cell r="BM59">
            <v>40065668.096774116</v>
          </cell>
          <cell r="BN59">
            <v>40301613.693548307</v>
          </cell>
          <cell r="BO59">
            <v>40537559.290322497</v>
          </cell>
          <cell r="BP59">
            <v>40773504.887096688</v>
          </cell>
          <cell r="BQ59">
            <v>41009450.483870879</v>
          </cell>
          <cell r="BR59">
            <v>41245396.080645069</v>
          </cell>
          <cell r="BS59">
            <v>41481341.67741926</v>
          </cell>
          <cell r="BT59">
            <v>41717287.274193451</v>
          </cell>
          <cell r="BU59">
            <v>41953232.870967641</v>
          </cell>
          <cell r="BV59">
            <v>42189178.467741832</v>
          </cell>
          <cell r="BW59">
            <v>42425124.064516023</v>
          </cell>
          <cell r="BX59">
            <v>42661069.661290213</v>
          </cell>
          <cell r="BY59">
            <v>42897015.258064404</v>
          </cell>
          <cell r="BZ59">
            <v>43132960.854838595</v>
          </cell>
          <cell r="CA59">
            <v>43368906.451612785</v>
          </cell>
          <cell r="CB59">
            <v>43604852.048386976</v>
          </cell>
          <cell r="CC59">
            <v>43840797.645161167</v>
          </cell>
          <cell r="CD59">
            <v>44076743.241935357</v>
          </cell>
        </row>
        <row r="60">
          <cell r="A60" t="str">
            <v>F3</v>
          </cell>
          <cell r="B60">
            <v>17886782</v>
          </cell>
          <cell r="C60">
            <v>18276080.35483871</v>
          </cell>
          <cell r="D60">
            <v>18665378.709677421</v>
          </cell>
          <cell r="E60">
            <v>19054677.064516131</v>
          </cell>
          <cell r="F60">
            <v>19443975.419354841</v>
          </cell>
          <cell r="G60">
            <v>19833273.774193551</v>
          </cell>
          <cell r="H60">
            <v>20222572.129032262</v>
          </cell>
          <cell r="I60">
            <v>20611870.483870972</v>
          </cell>
          <cell r="J60">
            <v>21001168.838709682</v>
          </cell>
          <cell r="K60">
            <v>21390467.193548393</v>
          </cell>
          <cell r="L60">
            <v>21779765.548387103</v>
          </cell>
          <cell r="M60">
            <v>22169063.903225813</v>
          </cell>
          <cell r="N60">
            <v>22558362.258064523</v>
          </cell>
          <cell r="O60">
            <v>22947660.612903234</v>
          </cell>
          <cell r="P60">
            <v>23336958.967741944</v>
          </cell>
          <cell r="Q60">
            <v>23726257.322580654</v>
          </cell>
          <cell r="R60">
            <v>24115555.677419364</v>
          </cell>
          <cell r="S60">
            <v>24504854.032258075</v>
          </cell>
          <cell r="T60">
            <v>24894152.387096785</v>
          </cell>
          <cell r="U60">
            <v>25283450.741935495</v>
          </cell>
          <cell r="V60">
            <v>25672749.096774206</v>
          </cell>
          <cell r="W60">
            <v>26062047.451612916</v>
          </cell>
          <cell r="X60">
            <v>26451345.806451626</v>
          </cell>
          <cell r="Y60">
            <v>26840644.161290336</v>
          </cell>
          <cell r="Z60">
            <v>27229942.516129047</v>
          </cell>
          <cell r="AA60">
            <v>27619240.870967757</v>
          </cell>
          <cell r="AB60">
            <v>28008539.225806467</v>
          </cell>
          <cell r="AC60">
            <v>28397837.580645178</v>
          </cell>
          <cell r="AD60">
            <v>28787135.935483888</v>
          </cell>
          <cell r="AE60">
            <v>29176434.290322598</v>
          </cell>
          <cell r="AF60">
            <v>29565732.645161308</v>
          </cell>
          <cell r="AG60">
            <v>29955031</v>
          </cell>
          <cell r="AH60">
            <v>30149680.177419353</v>
          </cell>
          <cell r="AI60">
            <v>30344329.354838707</v>
          </cell>
          <cell r="AJ60">
            <v>30538978.53225806</v>
          </cell>
          <cell r="AK60">
            <v>30733627.709677413</v>
          </cell>
          <cell r="AL60">
            <v>30928276.887096766</v>
          </cell>
          <cell r="AM60">
            <v>31122926.06451612</v>
          </cell>
          <cell r="AN60">
            <v>31317575.241935473</v>
          </cell>
          <cell r="AO60">
            <v>31512224.419354826</v>
          </cell>
          <cell r="AP60">
            <v>31706873.596774179</v>
          </cell>
          <cell r="AQ60">
            <v>31901522.774193533</v>
          </cell>
          <cell r="AR60">
            <v>32096171.951612886</v>
          </cell>
          <cell r="AS60">
            <v>32290821.129032239</v>
          </cell>
          <cell r="AT60">
            <v>32485470.306451593</v>
          </cell>
          <cell r="AU60">
            <v>32680119.483870946</v>
          </cell>
          <cell r="AV60">
            <v>32874768.661290299</v>
          </cell>
          <cell r="AW60">
            <v>33069417.838709652</v>
          </cell>
          <cell r="AX60">
            <v>33264067.016129006</v>
          </cell>
          <cell r="AY60">
            <v>33458716.193548359</v>
          </cell>
          <cell r="AZ60">
            <v>33653365.370967716</v>
          </cell>
          <cell r="BA60">
            <v>33848014.548387073</v>
          </cell>
          <cell r="BB60">
            <v>34042663.72580643</v>
          </cell>
          <cell r="BC60">
            <v>34237312.903225787</v>
          </cell>
          <cell r="BD60">
            <v>34431962.080645144</v>
          </cell>
          <cell r="BE60">
            <v>34626611.258064501</v>
          </cell>
          <cell r="BF60">
            <v>34821260.435483858</v>
          </cell>
          <cell r="BG60">
            <v>35015909.612903215</v>
          </cell>
          <cell r="BH60">
            <v>35210558.790322572</v>
          </cell>
          <cell r="BI60">
            <v>35405207.967741929</v>
          </cell>
          <cell r="BJ60">
            <v>35599857.145161286</v>
          </cell>
          <cell r="BK60">
            <v>35794506.322580643</v>
          </cell>
          <cell r="BL60">
            <v>35989155.5</v>
          </cell>
          <cell r="BM60">
            <v>36183804.677419357</v>
          </cell>
          <cell r="BN60">
            <v>36378453.854838714</v>
          </cell>
          <cell r="BO60">
            <v>36573103.032258071</v>
          </cell>
          <cell r="BP60">
            <v>36767752.209677428</v>
          </cell>
          <cell r="BQ60">
            <v>36962401.387096785</v>
          </cell>
          <cell r="BR60">
            <v>37157050.564516142</v>
          </cell>
          <cell r="BS60">
            <v>37351699.741935499</v>
          </cell>
          <cell r="BT60">
            <v>37546348.919354856</v>
          </cell>
          <cell r="BU60">
            <v>37740998.096774213</v>
          </cell>
          <cell r="BV60">
            <v>37935647.27419357</v>
          </cell>
          <cell r="BW60">
            <v>38130296.451612927</v>
          </cell>
          <cell r="BX60">
            <v>38324945.629032284</v>
          </cell>
          <cell r="BY60">
            <v>38519594.806451641</v>
          </cell>
          <cell r="BZ60">
            <v>38714243.983870998</v>
          </cell>
          <cell r="CA60">
            <v>38908893.161290355</v>
          </cell>
          <cell r="CB60">
            <v>39103542.338709712</v>
          </cell>
          <cell r="CC60">
            <v>39298191.516129069</v>
          </cell>
          <cell r="CD60">
            <v>39492840.693548426</v>
          </cell>
        </row>
        <row r="61">
          <cell r="A61" t="str">
            <v>A4</v>
          </cell>
          <cell r="B61">
            <v>17886782</v>
          </cell>
          <cell r="C61">
            <v>18424969.903225806</v>
          </cell>
          <cell r="D61">
            <v>18963157.806451611</v>
          </cell>
          <cell r="E61">
            <v>19501345.709677417</v>
          </cell>
          <cell r="F61">
            <v>20039533.612903222</v>
          </cell>
          <cell r="G61">
            <v>20577721.516129028</v>
          </cell>
          <cell r="H61">
            <v>21115909.419354834</v>
          </cell>
          <cell r="I61">
            <v>21654097.322580639</v>
          </cell>
          <cell r="J61">
            <v>22192285.225806445</v>
          </cell>
          <cell r="K61">
            <v>22730473.12903225</v>
          </cell>
          <cell r="L61">
            <v>23268661.032258056</v>
          </cell>
          <cell r="M61">
            <v>23806848.935483862</v>
          </cell>
          <cell r="N61">
            <v>24345036.838709667</v>
          </cell>
          <cell r="O61">
            <v>24883224.741935473</v>
          </cell>
          <cell r="P61">
            <v>25421412.645161279</v>
          </cell>
          <cell r="Q61">
            <v>25959600.548387084</v>
          </cell>
          <cell r="R61">
            <v>26497788.45161289</v>
          </cell>
          <cell r="S61">
            <v>27035976.354838695</v>
          </cell>
          <cell r="T61">
            <v>27574164.258064501</v>
          </cell>
          <cell r="U61">
            <v>28112352.161290307</v>
          </cell>
          <cell r="V61">
            <v>28650540.064516112</v>
          </cell>
          <cell r="W61">
            <v>29188727.967741918</v>
          </cell>
          <cell r="X61">
            <v>29726915.870967723</v>
          </cell>
          <cell r="Y61">
            <v>30265103.774193529</v>
          </cell>
          <cell r="Z61">
            <v>30803291.677419335</v>
          </cell>
          <cell r="AA61">
            <v>31341479.58064514</v>
          </cell>
          <cell r="AB61">
            <v>31879667.483870946</v>
          </cell>
          <cell r="AC61">
            <v>32417855.387096751</v>
          </cell>
          <cell r="AD61">
            <v>32956043.290322557</v>
          </cell>
          <cell r="AE61">
            <v>33494231.193548363</v>
          </cell>
          <cell r="AF61">
            <v>34032419.096774168</v>
          </cell>
          <cell r="AG61">
            <v>34570607</v>
          </cell>
          <cell r="AH61">
            <v>34839700.951612905</v>
          </cell>
          <cell r="AI61">
            <v>35108794.903225809</v>
          </cell>
          <cell r="AJ61">
            <v>35377888.854838714</v>
          </cell>
          <cell r="AK61">
            <v>35646982.806451619</v>
          </cell>
          <cell r="AL61">
            <v>35916076.758064523</v>
          </cell>
          <cell r="AM61">
            <v>36185170.709677428</v>
          </cell>
          <cell r="AN61">
            <v>36454264.661290333</v>
          </cell>
          <cell r="AO61">
            <v>36723358.612903237</v>
          </cell>
          <cell r="AP61">
            <v>36992452.564516142</v>
          </cell>
          <cell r="AQ61">
            <v>37261546.516129047</v>
          </cell>
          <cell r="AR61">
            <v>37530640.467741951</v>
          </cell>
          <cell r="AS61">
            <v>37799734.419354856</v>
          </cell>
          <cell r="AT61">
            <v>38068828.370967761</v>
          </cell>
          <cell r="AU61">
            <v>38337922.322580665</v>
          </cell>
          <cell r="AV61">
            <v>38607016.27419357</v>
          </cell>
          <cell r="AW61">
            <v>38876110.225806475</v>
          </cell>
          <cell r="AX61">
            <v>39145204.177419379</v>
          </cell>
          <cell r="AY61">
            <v>39414298.129032284</v>
          </cell>
          <cell r="AZ61">
            <v>39683392.080645189</v>
          </cell>
          <cell r="BA61">
            <v>39952486.032258093</v>
          </cell>
          <cell r="BB61">
            <v>40221579.983870998</v>
          </cell>
          <cell r="BC61">
            <v>40490673.935483903</v>
          </cell>
          <cell r="BD61">
            <v>40759767.887096807</v>
          </cell>
          <cell r="BE61">
            <v>41028861.838709712</v>
          </cell>
          <cell r="BF61">
            <v>41297955.790322617</v>
          </cell>
          <cell r="BG61">
            <v>41567049.741935521</v>
          </cell>
          <cell r="BH61">
            <v>41836143.693548426</v>
          </cell>
          <cell r="BI61">
            <v>42105237.645161331</v>
          </cell>
          <cell r="BJ61">
            <v>42374331.596774235</v>
          </cell>
          <cell r="BK61">
            <v>42643425.54838714</v>
          </cell>
          <cell r="BL61">
            <v>42912519.500000045</v>
          </cell>
          <cell r="BM61">
            <v>43181613.451612949</v>
          </cell>
          <cell r="BN61">
            <v>43450707.403225854</v>
          </cell>
          <cell r="BO61">
            <v>43719801.354838759</v>
          </cell>
          <cell r="BP61">
            <v>43988895.306451663</v>
          </cell>
          <cell r="BQ61">
            <v>44257989.258064568</v>
          </cell>
          <cell r="BR61">
            <v>44527083.209677473</v>
          </cell>
          <cell r="BS61">
            <v>44796177.161290377</v>
          </cell>
          <cell r="BT61">
            <v>45065271.112903282</v>
          </cell>
          <cell r="BU61">
            <v>45334365.064516187</v>
          </cell>
          <cell r="BV61">
            <v>45603459.016129091</v>
          </cell>
          <cell r="BW61">
            <v>45872552.967741996</v>
          </cell>
          <cell r="BX61">
            <v>46141646.919354901</v>
          </cell>
          <cell r="BY61">
            <v>46410740.870967805</v>
          </cell>
          <cell r="BZ61">
            <v>46679834.82258071</v>
          </cell>
          <cell r="CA61">
            <v>46948928.774193615</v>
          </cell>
          <cell r="CB61">
            <v>47218022.725806519</v>
          </cell>
          <cell r="CC61">
            <v>47487116.677419424</v>
          </cell>
          <cell r="CD61">
            <v>47756210.629032329</v>
          </cell>
        </row>
        <row r="62">
          <cell r="A62" t="str">
            <v>B4</v>
          </cell>
          <cell r="B62">
            <v>17886782</v>
          </cell>
          <cell r="C62">
            <v>18475170.903225806</v>
          </cell>
          <cell r="D62">
            <v>19063559.806451611</v>
          </cell>
          <cell r="E62">
            <v>19651948.709677417</v>
          </cell>
          <cell r="F62">
            <v>20240337.612903222</v>
          </cell>
          <cell r="G62">
            <v>20828726.516129028</v>
          </cell>
          <cell r="H62">
            <v>21417115.419354834</v>
          </cell>
          <cell r="I62">
            <v>22005504.322580639</v>
          </cell>
          <cell r="J62">
            <v>22593893.225806445</v>
          </cell>
          <cell r="K62">
            <v>23182282.12903225</v>
          </cell>
          <cell r="L62">
            <v>23770671.032258056</v>
          </cell>
          <cell r="M62">
            <v>24359059.935483862</v>
          </cell>
          <cell r="N62">
            <v>24947448.838709667</v>
          </cell>
          <cell r="O62">
            <v>25535837.741935473</v>
          </cell>
          <cell r="P62">
            <v>26124226.645161279</v>
          </cell>
          <cell r="Q62">
            <v>26712615.548387084</v>
          </cell>
          <cell r="R62">
            <v>27301004.45161289</v>
          </cell>
          <cell r="S62">
            <v>27889393.354838695</v>
          </cell>
          <cell r="T62">
            <v>28477782.258064501</v>
          </cell>
          <cell r="U62">
            <v>29066171.161290307</v>
          </cell>
          <cell r="V62">
            <v>29654560.064516112</v>
          </cell>
          <cell r="W62">
            <v>30242948.967741918</v>
          </cell>
          <cell r="X62">
            <v>30831337.870967723</v>
          </cell>
          <cell r="Y62">
            <v>31419726.774193529</v>
          </cell>
          <cell r="Z62">
            <v>32008115.677419335</v>
          </cell>
          <cell r="AA62">
            <v>32596504.58064514</v>
          </cell>
          <cell r="AB62">
            <v>33184893.483870946</v>
          </cell>
          <cell r="AC62">
            <v>33773282.387096755</v>
          </cell>
          <cell r="AD62">
            <v>34361671.290322565</v>
          </cell>
          <cell r="AE62">
            <v>34950060.193548374</v>
          </cell>
          <cell r="AF62">
            <v>35538449.096774183</v>
          </cell>
          <cell r="AG62">
            <v>36126838</v>
          </cell>
          <cell r="AH62">
            <v>36421032.451612905</v>
          </cell>
          <cell r="AI62">
            <v>36715226.903225809</v>
          </cell>
          <cell r="AJ62">
            <v>37009421.354838714</v>
          </cell>
          <cell r="AK62">
            <v>37303615.806451619</v>
          </cell>
          <cell r="AL62">
            <v>37597810.258064523</v>
          </cell>
          <cell r="AM62">
            <v>37892004.709677428</v>
          </cell>
          <cell r="AN62">
            <v>38186199.161290333</v>
          </cell>
          <cell r="AO62">
            <v>38480393.612903237</v>
          </cell>
          <cell r="AP62">
            <v>38774588.064516142</v>
          </cell>
          <cell r="AQ62">
            <v>39068782.516129047</v>
          </cell>
          <cell r="AR62">
            <v>39362976.967741951</v>
          </cell>
          <cell r="AS62">
            <v>39657171.419354856</v>
          </cell>
          <cell r="AT62">
            <v>39951365.870967761</v>
          </cell>
          <cell r="AU62">
            <v>40245560.322580665</v>
          </cell>
          <cell r="AV62">
            <v>40539754.77419357</v>
          </cell>
          <cell r="AW62">
            <v>40833949.225806475</v>
          </cell>
          <cell r="AX62">
            <v>41128143.677419379</v>
          </cell>
          <cell r="AY62">
            <v>41422338.129032284</v>
          </cell>
          <cell r="AZ62">
            <v>41716532.580645189</v>
          </cell>
          <cell r="BA62">
            <v>42010727.032258093</v>
          </cell>
          <cell r="BB62">
            <v>42304921.483870998</v>
          </cell>
          <cell r="BC62">
            <v>42599115.935483903</v>
          </cell>
          <cell r="BD62">
            <v>42893310.387096807</v>
          </cell>
          <cell r="BE62">
            <v>43187504.838709712</v>
          </cell>
          <cell r="BF62">
            <v>43481699.290322617</v>
          </cell>
          <cell r="BG62">
            <v>43775893.741935521</v>
          </cell>
          <cell r="BH62">
            <v>44070088.193548426</v>
          </cell>
          <cell r="BI62">
            <v>44364282.645161331</v>
          </cell>
          <cell r="BJ62">
            <v>44658477.096774235</v>
          </cell>
          <cell r="BK62">
            <v>44952671.54838714</v>
          </cell>
          <cell r="BL62">
            <v>45246866.000000045</v>
          </cell>
          <cell r="BM62">
            <v>45541060.451612949</v>
          </cell>
          <cell r="BN62">
            <v>45835254.903225854</v>
          </cell>
          <cell r="BO62">
            <v>46129449.354838759</v>
          </cell>
          <cell r="BP62">
            <v>46423643.806451663</v>
          </cell>
          <cell r="BQ62">
            <v>46717838.258064568</v>
          </cell>
          <cell r="BR62">
            <v>47012032.709677473</v>
          </cell>
          <cell r="BS62">
            <v>47306227.161290377</v>
          </cell>
          <cell r="BT62">
            <v>47600421.612903282</v>
          </cell>
          <cell r="BU62">
            <v>47894616.064516187</v>
          </cell>
          <cell r="BV62">
            <v>48188810.516129091</v>
          </cell>
          <cell r="BW62">
            <v>48483004.967741996</v>
          </cell>
          <cell r="BX62">
            <v>48777199.419354901</v>
          </cell>
          <cell r="BY62">
            <v>49071393.870967805</v>
          </cell>
          <cell r="BZ62">
            <v>49365588.32258071</v>
          </cell>
          <cell r="CA62">
            <v>49659782.774193615</v>
          </cell>
          <cell r="CB62">
            <v>49953977.225806519</v>
          </cell>
          <cell r="CC62">
            <v>50248171.677419424</v>
          </cell>
          <cell r="CD62">
            <v>50542366.129032329</v>
          </cell>
        </row>
        <row r="63">
          <cell r="A63" t="str">
            <v>E4</v>
          </cell>
          <cell r="B63">
            <v>17886782</v>
          </cell>
          <cell r="C63">
            <v>18441306.451612905</v>
          </cell>
          <cell r="D63">
            <v>18995830.903225809</v>
          </cell>
          <cell r="E63">
            <v>19550355.354838714</v>
          </cell>
          <cell r="F63">
            <v>20104879.806451619</v>
          </cell>
          <cell r="G63">
            <v>20659404.258064523</v>
          </cell>
          <cell r="H63">
            <v>21213928.709677428</v>
          </cell>
          <cell r="I63">
            <v>21768453.161290333</v>
          </cell>
          <cell r="J63">
            <v>22322977.612903237</v>
          </cell>
          <cell r="K63">
            <v>22877502.064516142</v>
          </cell>
          <cell r="L63">
            <v>23432026.516129047</v>
          </cell>
          <cell r="M63">
            <v>23986550.967741951</v>
          </cell>
          <cell r="N63">
            <v>24541075.419354856</v>
          </cell>
          <cell r="O63">
            <v>25095599.870967761</v>
          </cell>
          <cell r="P63">
            <v>25650124.322580665</v>
          </cell>
          <cell r="Q63">
            <v>26204648.77419357</v>
          </cell>
          <cell r="R63">
            <v>26759173.225806475</v>
          </cell>
          <cell r="S63">
            <v>27313697.677419379</v>
          </cell>
          <cell r="T63">
            <v>27868222.129032284</v>
          </cell>
          <cell r="U63">
            <v>28422746.580645189</v>
          </cell>
          <cell r="V63">
            <v>28977271.032258093</v>
          </cell>
          <cell r="W63">
            <v>29531795.483870998</v>
          </cell>
          <cell r="X63">
            <v>30086319.935483903</v>
          </cell>
          <cell r="Y63">
            <v>30640844.387096807</v>
          </cell>
          <cell r="Z63">
            <v>31195368.838709712</v>
          </cell>
          <cell r="AA63">
            <v>31749893.290322617</v>
          </cell>
          <cell r="AB63">
            <v>32304417.741935521</v>
          </cell>
          <cell r="AC63">
            <v>32858942.193548426</v>
          </cell>
          <cell r="AD63">
            <v>33413466.645161331</v>
          </cell>
          <cell r="AE63">
            <v>33967991.096774235</v>
          </cell>
          <cell r="AF63">
            <v>34522515.54838714</v>
          </cell>
          <cell r="AG63">
            <v>35077040</v>
          </cell>
          <cell r="AH63">
            <v>35354302.225806452</v>
          </cell>
          <cell r="AI63">
            <v>35631564.451612905</v>
          </cell>
          <cell r="AJ63">
            <v>35908826.677419357</v>
          </cell>
          <cell r="AK63">
            <v>36186088.903225809</v>
          </cell>
          <cell r="AL63">
            <v>36463351.129032262</v>
          </cell>
          <cell r="AM63">
            <v>36740613.354838714</v>
          </cell>
          <cell r="AN63">
            <v>37017875.580645166</v>
          </cell>
          <cell r="AO63">
            <v>37295137.806451619</v>
          </cell>
          <cell r="AP63">
            <v>37572400.032258071</v>
          </cell>
          <cell r="AQ63">
            <v>37849662.258064523</v>
          </cell>
          <cell r="AR63">
            <v>38126924.483870976</v>
          </cell>
          <cell r="AS63">
            <v>38404186.709677428</v>
          </cell>
          <cell r="AT63">
            <v>38681448.93548388</v>
          </cell>
          <cell r="AU63">
            <v>38958711.161290333</v>
          </cell>
          <cell r="AV63">
            <v>39235973.387096785</v>
          </cell>
          <cell r="AW63">
            <v>39513235.612903237</v>
          </cell>
          <cell r="AX63">
            <v>39790497.83870969</v>
          </cell>
          <cell r="AY63">
            <v>40067760.064516142</v>
          </cell>
          <cell r="AZ63">
            <v>40345022.290322594</v>
          </cell>
          <cell r="BA63">
            <v>40622284.516129047</v>
          </cell>
          <cell r="BB63">
            <v>40899546.741935499</v>
          </cell>
          <cell r="BC63">
            <v>41176808.967741951</v>
          </cell>
          <cell r="BD63">
            <v>41454071.193548404</v>
          </cell>
          <cell r="BE63">
            <v>41731333.419354856</v>
          </cell>
          <cell r="BF63">
            <v>42008595.645161308</v>
          </cell>
          <cell r="BG63">
            <v>42285857.870967761</v>
          </cell>
          <cell r="BH63">
            <v>42563120.096774213</v>
          </cell>
          <cell r="BI63">
            <v>42840382.322580665</v>
          </cell>
          <cell r="BJ63">
            <v>43117644.548387118</v>
          </cell>
          <cell r="BK63">
            <v>43394906.77419357</v>
          </cell>
          <cell r="BL63">
            <v>43672169.000000022</v>
          </cell>
          <cell r="BM63">
            <v>43949431.225806475</v>
          </cell>
          <cell r="BN63">
            <v>44226693.451612927</v>
          </cell>
          <cell r="BO63">
            <v>44503955.677419379</v>
          </cell>
          <cell r="BP63">
            <v>44781217.903225832</v>
          </cell>
          <cell r="BQ63">
            <v>45058480.129032284</v>
          </cell>
          <cell r="BR63">
            <v>45335742.354838736</v>
          </cell>
          <cell r="BS63">
            <v>45613004.580645189</v>
          </cell>
          <cell r="BT63">
            <v>45890266.806451641</v>
          </cell>
          <cell r="BU63">
            <v>46167529.032258093</v>
          </cell>
          <cell r="BV63">
            <v>46444791.258064546</v>
          </cell>
          <cell r="BW63">
            <v>46722053.483870998</v>
          </cell>
          <cell r="BX63">
            <v>46999315.70967745</v>
          </cell>
          <cell r="BY63">
            <v>47276577.935483903</v>
          </cell>
          <cell r="BZ63">
            <v>47553840.161290355</v>
          </cell>
          <cell r="CA63">
            <v>47831102.387096807</v>
          </cell>
          <cell r="CB63">
            <v>48108364.61290326</v>
          </cell>
          <cell r="CC63">
            <v>48385626.838709712</v>
          </cell>
          <cell r="CD63">
            <v>48662889.064516164</v>
          </cell>
        </row>
        <row r="69">
          <cell r="A69" t="str">
            <v>A1</v>
          </cell>
          <cell r="B69">
            <v>484415</v>
          </cell>
          <cell r="C69">
            <v>498328.06451612903</v>
          </cell>
          <cell r="D69">
            <v>512241.12903225806</v>
          </cell>
          <cell r="E69">
            <v>526154.19354838715</v>
          </cell>
          <cell r="F69">
            <v>540067.25806451624</v>
          </cell>
          <cell r="G69">
            <v>553980.32258064533</v>
          </cell>
          <cell r="H69">
            <v>567893.38709677442</v>
          </cell>
          <cell r="I69">
            <v>581806.4516129035</v>
          </cell>
          <cell r="J69">
            <v>595719.51612903259</v>
          </cell>
          <cell r="K69">
            <v>609632.58064516168</v>
          </cell>
          <cell r="L69">
            <v>623545.64516129077</v>
          </cell>
          <cell r="M69">
            <v>637458.70967741986</v>
          </cell>
          <cell r="N69">
            <v>651371.77419354895</v>
          </cell>
          <cell r="O69">
            <v>665284.83870967804</v>
          </cell>
          <cell r="P69">
            <v>679197.90322580712</v>
          </cell>
          <cell r="Q69">
            <v>693110.96774193621</v>
          </cell>
          <cell r="R69">
            <v>707024.0322580653</v>
          </cell>
          <cell r="S69">
            <v>720937.09677419439</v>
          </cell>
          <cell r="T69">
            <v>734850.16129032348</v>
          </cell>
          <cell r="U69">
            <v>748763.22580645257</v>
          </cell>
          <cell r="V69">
            <v>762676.29032258166</v>
          </cell>
          <cell r="W69">
            <v>776589.35483871074</v>
          </cell>
          <cell r="X69">
            <v>790502.41935483983</v>
          </cell>
          <cell r="Y69">
            <v>804415.48387096892</v>
          </cell>
          <cell r="Z69">
            <v>818328.54838709801</v>
          </cell>
          <cell r="AA69">
            <v>832241.6129032271</v>
          </cell>
          <cell r="AB69">
            <v>846154.67741935619</v>
          </cell>
          <cell r="AC69">
            <v>860067.74193548528</v>
          </cell>
          <cell r="AD69">
            <v>873980.80645161436</v>
          </cell>
          <cell r="AE69">
            <v>887893.87096774345</v>
          </cell>
          <cell r="AF69">
            <v>901806.93548387254</v>
          </cell>
          <cell r="AG69">
            <v>915720</v>
          </cell>
          <cell r="AH69">
            <v>922676.53225806449</v>
          </cell>
          <cell r="AI69">
            <v>929633.06451612897</v>
          </cell>
          <cell r="AJ69">
            <v>936589.59677419346</v>
          </cell>
          <cell r="AK69">
            <v>943546.12903225794</v>
          </cell>
          <cell r="AL69">
            <v>950502.66129032243</v>
          </cell>
          <cell r="AM69">
            <v>957459.19354838692</v>
          </cell>
          <cell r="AN69">
            <v>964415.7258064514</v>
          </cell>
          <cell r="AO69">
            <v>971372.25806451589</v>
          </cell>
          <cell r="AP69">
            <v>978328.79032258037</v>
          </cell>
          <cell r="AQ69">
            <v>985285.32258064486</v>
          </cell>
          <cell r="AR69">
            <v>992241.85483870935</v>
          </cell>
          <cell r="AS69">
            <v>999198.38709677383</v>
          </cell>
          <cell r="AT69">
            <v>1006154.9193548383</v>
          </cell>
          <cell r="AU69">
            <v>1013111.4516129028</v>
          </cell>
          <cell r="AV69">
            <v>1020067.9838709673</v>
          </cell>
          <cell r="AW69">
            <v>1027024.5161290318</v>
          </cell>
          <cell r="AX69">
            <v>1033981.0483870963</v>
          </cell>
          <cell r="AY69">
            <v>1040937.5806451607</v>
          </cell>
          <cell r="AZ69">
            <v>1047894.1129032252</v>
          </cell>
          <cell r="BA69">
            <v>1054850.6451612897</v>
          </cell>
          <cell r="BB69">
            <v>1061807.1774193542</v>
          </cell>
          <cell r="BC69">
            <v>1068763.7096774187</v>
          </cell>
          <cell r="BD69">
            <v>1075720.2419354832</v>
          </cell>
          <cell r="BE69">
            <v>1082676.7741935477</v>
          </cell>
          <cell r="BF69">
            <v>1089633.3064516122</v>
          </cell>
          <cell r="BG69">
            <v>1096589.8387096766</v>
          </cell>
          <cell r="BH69">
            <v>1103546.3709677411</v>
          </cell>
          <cell r="BI69">
            <v>1110502.9032258056</v>
          </cell>
          <cell r="BJ69">
            <v>1117459.4354838701</v>
          </cell>
          <cell r="BK69">
            <v>1124415.9677419346</v>
          </cell>
          <cell r="BL69">
            <v>1131372.4999999991</v>
          </cell>
          <cell r="BM69">
            <v>1138329.0322580636</v>
          </cell>
          <cell r="BN69">
            <v>1145285.564516128</v>
          </cell>
          <cell r="BO69">
            <v>1152242.0967741925</v>
          </cell>
          <cell r="BP69">
            <v>1159198.629032257</v>
          </cell>
          <cell r="BQ69">
            <v>1166155.1612903215</v>
          </cell>
          <cell r="BR69">
            <v>1173111.693548386</v>
          </cell>
          <cell r="BS69">
            <v>1180068.2258064505</v>
          </cell>
          <cell r="BT69">
            <v>1187024.758064515</v>
          </cell>
          <cell r="BU69">
            <v>1193981.2903225794</v>
          </cell>
          <cell r="BV69">
            <v>1200937.8225806439</v>
          </cell>
          <cell r="BW69">
            <v>1207894.3548387084</v>
          </cell>
          <cell r="BX69">
            <v>1214850.8870967729</v>
          </cell>
          <cell r="BY69">
            <v>1221807.4193548374</v>
          </cell>
          <cell r="BZ69">
            <v>1228763.9516129019</v>
          </cell>
          <cell r="CA69">
            <v>1235720.4838709664</v>
          </cell>
          <cell r="CB69">
            <v>1242677.0161290308</v>
          </cell>
          <cell r="CC69">
            <v>1249633.5483870953</v>
          </cell>
          <cell r="CD69">
            <v>1256590.0806451598</v>
          </cell>
        </row>
        <row r="70">
          <cell r="A70" t="str">
            <v>B1</v>
          </cell>
          <cell r="B70">
            <v>484415</v>
          </cell>
          <cell r="C70">
            <v>498328.06451612903</v>
          </cell>
          <cell r="D70">
            <v>512241.12903225806</v>
          </cell>
          <cell r="E70">
            <v>526154.19354838715</v>
          </cell>
          <cell r="F70">
            <v>540067.25806451624</v>
          </cell>
          <cell r="G70">
            <v>553980.32258064533</v>
          </cell>
          <cell r="H70">
            <v>567893.38709677442</v>
          </cell>
          <cell r="I70">
            <v>581806.4516129035</v>
          </cell>
          <cell r="J70">
            <v>595719.51612903259</v>
          </cell>
          <cell r="K70">
            <v>609632.58064516168</v>
          </cell>
          <cell r="L70">
            <v>623545.64516129077</v>
          </cell>
          <cell r="M70">
            <v>637458.70967741986</v>
          </cell>
          <cell r="N70">
            <v>651371.77419354895</v>
          </cell>
          <cell r="O70">
            <v>665284.83870967804</v>
          </cell>
          <cell r="P70">
            <v>679197.90322580712</v>
          </cell>
          <cell r="Q70">
            <v>693110.96774193621</v>
          </cell>
          <cell r="R70">
            <v>707024.0322580653</v>
          </cell>
          <cell r="S70">
            <v>720937.09677419439</v>
          </cell>
          <cell r="T70">
            <v>734850.16129032348</v>
          </cell>
          <cell r="U70">
            <v>748763.22580645257</v>
          </cell>
          <cell r="V70">
            <v>762676.29032258166</v>
          </cell>
          <cell r="W70">
            <v>776589.35483871074</v>
          </cell>
          <cell r="X70">
            <v>790502.41935483983</v>
          </cell>
          <cell r="Y70">
            <v>804415.48387096892</v>
          </cell>
          <cell r="Z70">
            <v>818328.54838709801</v>
          </cell>
          <cell r="AA70">
            <v>832241.6129032271</v>
          </cell>
          <cell r="AB70">
            <v>846154.67741935619</v>
          </cell>
          <cell r="AC70">
            <v>860067.74193548528</v>
          </cell>
          <cell r="AD70">
            <v>873980.80645161436</v>
          </cell>
          <cell r="AE70">
            <v>887893.87096774345</v>
          </cell>
          <cell r="AF70">
            <v>897788.93548387173</v>
          </cell>
          <cell r="AG70">
            <v>907684</v>
          </cell>
          <cell r="AH70">
            <v>914510.91935483867</v>
          </cell>
          <cell r="AI70">
            <v>921337.83870967734</v>
          </cell>
          <cell r="AJ70">
            <v>928164.75806451601</v>
          </cell>
          <cell r="AK70">
            <v>934991.67741935467</v>
          </cell>
          <cell r="AL70">
            <v>941818.59677419334</v>
          </cell>
          <cell r="AM70">
            <v>948645.51612903201</v>
          </cell>
          <cell r="AN70">
            <v>955472.43548387068</v>
          </cell>
          <cell r="AO70">
            <v>962299.35483870935</v>
          </cell>
          <cell r="AP70">
            <v>969126.27419354802</v>
          </cell>
          <cell r="AQ70">
            <v>975953.19354838668</v>
          </cell>
          <cell r="AR70">
            <v>982780.11290322535</v>
          </cell>
          <cell r="AS70">
            <v>989607.03225806402</v>
          </cell>
          <cell r="AT70">
            <v>996433.95161290269</v>
          </cell>
          <cell r="AU70">
            <v>1003260.8709677414</v>
          </cell>
          <cell r="AV70">
            <v>1010087.79032258</v>
          </cell>
          <cell r="AW70">
            <v>1016914.7096774187</v>
          </cell>
          <cell r="AX70">
            <v>1023741.6290322574</v>
          </cell>
          <cell r="AY70">
            <v>1030568.548387096</v>
          </cell>
          <cell r="AZ70">
            <v>1037395.4677419347</v>
          </cell>
          <cell r="BA70">
            <v>1044222.3870967734</v>
          </cell>
          <cell r="BB70">
            <v>1051049.3064516122</v>
          </cell>
          <cell r="BC70">
            <v>1057876.2258064509</v>
          </cell>
          <cell r="BD70">
            <v>1064703.1451612897</v>
          </cell>
          <cell r="BE70">
            <v>1071530.0645161285</v>
          </cell>
          <cell r="BF70">
            <v>1078356.9838709673</v>
          </cell>
          <cell r="BG70">
            <v>1085183.9032258061</v>
          </cell>
          <cell r="BH70">
            <v>1092010.8225806449</v>
          </cell>
          <cell r="BI70">
            <v>1098837.7419354836</v>
          </cell>
          <cell r="BJ70">
            <v>1105664.6612903224</v>
          </cell>
          <cell r="BK70">
            <v>1112491.5806451612</v>
          </cell>
          <cell r="BL70">
            <v>1119318.5</v>
          </cell>
          <cell r="BM70">
            <v>1126145.4193548388</v>
          </cell>
          <cell r="BN70">
            <v>1132972.3387096776</v>
          </cell>
          <cell r="BO70">
            <v>1139799.2580645164</v>
          </cell>
          <cell r="BP70">
            <v>1146626.1774193551</v>
          </cell>
          <cell r="BQ70">
            <v>1153453.0967741939</v>
          </cell>
          <cell r="BR70">
            <v>1160280.0161290327</v>
          </cell>
          <cell r="BS70">
            <v>1167106.9354838715</v>
          </cell>
          <cell r="BT70">
            <v>1173933.8548387103</v>
          </cell>
          <cell r="BU70">
            <v>1180760.7741935491</v>
          </cell>
          <cell r="BV70">
            <v>1187587.6935483878</v>
          </cell>
          <cell r="BW70">
            <v>1194414.6129032266</v>
          </cell>
          <cell r="BX70">
            <v>1201241.5322580654</v>
          </cell>
          <cell r="BY70">
            <v>1208068.4516129042</v>
          </cell>
          <cell r="BZ70">
            <v>1214895.370967743</v>
          </cell>
          <cell r="CA70">
            <v>1221722.2903225818</v>
          </cell>
          <cell r="CB70">
            <v>1228549.2096774206</v>
          </cell>
          <cell r="CC70">
            <v>1235376.1290322593</v>
          </cell>
          <cell r="CD70">
            <v>1242203.0483870981</v>
          </cell>
        </row>
        <row r="71">
          <cell r="A71" t="str">
            <v>C1</v>
          </cell>
          <cell r="B71">
            <v>484415</v>
          </cell>
          <cell r="C71">
            <v>498328.06451612903</v>
          </cell>
          <cell r="D71">
            <v>512241.12903225806</v>
          </cell>
          <cell r="E71">
            <v>526154.19354838715</v>
          </cell>
          <cell r="F71">
            <v>540067.25806451624</v>
          </cell>
          <cell r="G71">
            <v>553980.32258064533</v>
          </cell>
          <cell r="H71">
            <v>567893.38709677442</v>
          </cell>
          <cell r="I71">
            <v>581806.4516129035</v>
          </cell>
          <cell r="J71">
            <v>595719.51612903259</v>
          </cell>
          <cell r="K71">
            <v>609632.58064516168</v>
          </cell>
          <cell r="L71">
            <v>623545.64516129077</v>
          </cell>
          <cell r="M71">
            <v>637458.70967741986</v>
          </cell>
          <cell r="N71">
            <v>651371.77419354895</v>
          </cell>
          <cell r="O71">
            <v>665284.83870967804</v>
          </cell>
          <cell r="P71">
            <v>679197.90322580712</v>
          </cell>
          <cell r="Q71">
            <v>693110.96774193621</v>
          </cell>
          <cell r="R71">
            <v>707024.0322580653</v>
          </cell>
          <cell r="S71">
            <v>720937.09677419439</v>
          </cell>
          <cell r="T71">
            <v>734850.16129032348</v>
          </cell>
          <cell r="U71">
            <v>748763.22580645257</v>
          </cell>
          <cell r="V71">
            <v>762676.29032258166</v>
          </cell>
          <cell r="W71">
            <v>776589.35483871074</v>
          </cell>
          <cell r="X71">
            <v>790502.41935483983</v>
          </cell>
          <cell r="Y71">
            <v>804415.48387096892</v>
          </cell>
          <cell r="Z71">
            <v>817312.92338709778</v>
          </cell>
          <cell r="AA71">
            <v>830210.36290322663</v>
          </cell>
          <cell r="AB71">
            <v>843107.80241935549</v>
          </cell>
          <cell r="AC71">
            <v>856005.24193548434</v>
          </cell>
          <cell r="AD71">
            <v>868902.68145161332</v>
          </cell>
          <cell r="AE71">
            <v>881800.12096774217</v>
          </cell>
          <cell r="AF71">
            <v>894697.56048387103</v>
          </cell>
          <cell r="AG71">
            <v>907595</v>
          </cell>
          <cell r="AH71">
            <v>914420.48387096776</v>
          </cell>
          <cell r="AI71">
            <v>921245.96774193551</v>
          </cell>
          <cell r="AJ71">
            <v>928071.45161290327</v>
          </cell>
          <cell r="AK71">
            <v>934896.93548387103</v>
          </cell>
          <cell r="AL71">
            <v>941722.41935483878</v>
          </cell>
          <cell r="AM71">
            <v>948547.90322580654</v>
          </cell>
          <cell r="AN71">
            <v>955373.3870967743</v>
          </cell>
          <cell r="AO71">
            <v>962198.87096774206</v>
          </cell>
          <cell r="AP71">
            <v>969024.35483870981</v>
          </cell>
          <cell r="AQ71">
            <v>975849.83870967757</v>
          </cell>
          <cell r="AR71">
            <v>982675.32258064533</v>
          </cell>
          <cell r="AS71">
            <v>989500.80645161308</v>
          </cell>
          <cell r="AT71">
            <v>996326.29032258084</v>
          </cell>
          <cell r="AU71">
            <v>1003151.7741935486</v>
          </cell>
          <cell r="AV71">
            <v>1009977.2580645164</v>
          </cell>
          <cell r="AW71">
            <v>1016802.7419354841</v>
          </cell>
          <cell r="AX71">
            <v>1023628.2258064519</v>
          </cell>
          <cell r="AY71">
            <v>1030453.7096774196</v>
          </cell>
          <cell r="AZ71">
            <v>1037279.1935483874</v>
          </cell>
          <cell r="BA71">
            <v>1044104.6774193551</v>
          </cell>
          <cell r="BB71">
            <v>1050930.1612903229</v>
          </cell>
          <cell r="BC71">
            <v>1057755.6451612907</v>
          </cell>
          <cell r="BD71">
            <v>1064581.1290322584</v>
          </cell>
          <cell r="BE71">
            <v>1071406.6129032262</v>
          </cell>
          <cell r="BF71">
            <v>1078232.0967741939</v>
          </cell>
          <cell r="BG71">
            <v>1085057.5806451617</v>
          </cell>
          <cell r="BH71">
            <v>1091883.0645161294</v>
          </cell>
          <cell r="BI71">
            <v>1098708.5483870972</v>
          </cell>
          <cell r="BJ71">
            <v>1105534.032258065</v>
          </cell>
          <cell r="BK71">
            <v>1112359.5161290327</v>
          </cell>
          <cell r="BL71">
            <v>1119185.0000000005</v>
          </cell>
          <cell r="BM71">
            <v>1126010.4838709682</v>
          </cell>
          <cell r="BN71">
            <v>1132835.967741936</v>
          </cell>
          <cell r="BO71">
            <v>1139661.4516129037</v>
          </cell>
          <cell r="BP71">
            <v>1146486.9354838715</v>
          </cell>
          <cell r="BQ71">
            <v>1153312.4193548393</v>
          </cell>
          <cell r="BR71">
            <v>1160137.903225807</v>
          </cell>
          <cell r="BS71">
            <v>1166963.3870967748</v>
          </cell>
          <cell r="BT71">
            <v>1173788.8709677425</v>
          </cell>
          <cell r="BU71">
            <v>1180614.3548387103</v>
          </cell>
          <cell r="BV71">
            <v>1187439.838709678</v>
          </cell>
          <cell r="BW71">
            <v>1194265.3225806458</v>
          </cell>
          <cell r="BX71">
            <v>1201090.8064516135</v>
          </cell>
          <cell r="BY71">
            <v>1207916.2903225813</v>
          </cell>
          <cell r="BZ71">
            <v>1214741.7741935491</v>
          </cell>
          <cell r="CA71">
            <v>1221567.2580645168</v>
          </cell>
          <cell r="CB71">
            <v>1228392.7419354846</v>
          </cell>
          <cell r="CC71">
            <v>1235218.2258064523</v>
          </cell>
          <cell r="CD71">
            <v>1242043.7096774201</v>
          </cell>
        </row>
        <row r="72">
          <cell r="A72" t="str">
            <v>D1</v>
          </cell>
          <cell r="B72">
            <v>484415</v>
          </cell>
          <cell r="C72">
            <v>498328.06451612903</v>
          </cell>
          <cell r="D72">
            <v>512241.12903225806</v>
          </cell>
          <cell r="E72">
            <v>526154.19354838715</v>
          </cell>
          <cell r="F72">
            <v>540067.25806451624</v>
          </cell>
          <cell r="G72">
            <v>553980.32258064533</v>
          </cell>
          <cell r="H72">
            <v>567893.38709677442</v>
          </cell>
          <cell r="I72">
            <v>581806.4516129035</v>
          </cell>
          <cell r="J72">
            <v>595719.51612903259</v>
          </cell>
          <cell r="K72">
            <v>609632.58064516168</v>
          </cell>
          <cell r="L72">
            <v>623545.64516129077</v>
          </cell>
          <cell r="M72">
            <v>637458.70967741986</v>
          </cell>
          <cell r="N72">
            <v>651371.77419354895</v>
          </cell>
          <cell r="O72">
            <v>665284.83870967804</v>
          </cell>
          <cell r="P72">
            <v>679197.90322580712</v>
          </cell>
          <cell r="Q72">
            <v>693110.96774193621</v>
          </cell>
          <cell r="R72">
            <v>707024.0322580653</v>
          </cell>
          <cell r="S72">
            <v>720937.09677419439</v>
          </cell>
          <cell r="T72">
            <v>734850.16129032348</v>
          </cell>
          <cell r="U72">
            <v>748763.22580645257</v>
          </cell>
          <cell r="V72">
            <v>762676.29032258166</v>
          </cell>
          <cell r="W72">
            <v>776589.35483871074</v>
          </cell>
          <cell r="X72">
            <v>790502.41935483983</v>
          </cell>
          <cell r="Y72">
            <v>803960.81720430206</v>
          </cell>
          <cell r="Z72">
            <v>817419.21505376429</v>
          </cell>
          <cell r="AA72">
            <v>830877.61290322652</v>
          </cell>
          <cell r="AB72">
            <v>844336.01075268874</v>
          </cell>
          <cell r="AC72">
            <v>857794.40860215097</v>
          </cell>
          <cell r="AD72">
            <v>871252.8064516132</v>
          </cell>
          <cell r="AE72">
            <v>884711.20430107543</v>
          </cell>
          <cell r="AF72">
            <v>898169.60215053777</v>
          </cell>
          <cell r="AG72">
            <v>911628</v>
          </cell>
          <cell r="AH72">
            <v>918518.53225806449</v>
          </cell>
          <cell r="AI72">
            <v>925409.06451612897</v>
          </cell>
          <cell r="AJ72">
            <v>932299.59677419346</v>
          </cell>
          <cell r="AK72">
            <v>939190.12903225794</v>
          </cell>
          <cell r="AL72">
            <v>946080.66129032243</v>
          </cell>
          <cell r="AM72">
            <v>952971.19354838692</v>
          </cell>
          <cell r="AN72">
            <v>959861.7258064514</v>
          </cell>
          <cell r="AO72">
            <v>966752.25806451589</v>
          </cell>
          <cell r="AP72">
            <v>973642.79032258037</v>
          </cell>
          <cell r="AQ72">
            <v>980533.32258064486</v>
          </cell>
          <cell r="AR72">
            <v>987423.85483870935</v>
          </cell>
          <cell r="AS72">
            <v>994314.38709677383</v>
          </cell>
          <cell r="AT72">
            <v>1001204.9193548383</v>
          </cell>
          <cell r="AU72">
            <v>1008095.4516129028</v>
          </cell>
          <cell r="AV72">
            <v>1014985.9838709673</v>
          </cell>
          <cell r="AW72">
            <v>1021876.5161290318</v>
          </cell>
          <cell r="AX72">
            <v>1028767.0483870963</v>
          </cell>
          <cell r="AY72">
            <v>1035657.5806451607</v>
          </cell>
          <cell r="AZ72">
            <v>1042548.1129032252</v>
          </cell>
          <cell r="BA72">
            <v>1049438.6451612897</v>
          </cell>
          <cell r="BB72">
            <v>1056329.1774193542</v>
          </cell>
          <cell r="BC72">
            <v>1063219.7096774187</v>
          </cell>
          <cell r="BD72">
            <v>1070110.2419354832</v>
          </cell>
          <cell r="BE72">
            <v>1077000.7741935477</v>
          </cell>
          <cell r="BF72">
            <v>1083891.3064516122</v>
          </cell>
          <cell r="BG72">
            <v>1090781.8387096766</v>
          </cell>
          <cell r="BH72">
            <v>1097672.3709677411</v>
          </cell>
          <cell r="BI72">
            <v>1104562.9032258056</v>
          </cell>
          <cell r="BJ72">
            <v>1111453.4354838701</v>
          </cell>
          <cell r="BK72">
            <v>1118343.9677419346</v>
          </cell>
          <cell r="BL72">
            <v>1125234.4999999991</v>
          </cell>
          <cell r="BM72">
            <v>1132125.0322580636</v>
          </cell>
          <cell r="BN72">
            <v>1139015.564516128</v>
          </cell>
          <cell r="BO72">
            <v>1145906.0967741925</v>
          </cell>
          <cell r="BP72">
            <v>1152796.629032257</v>
          </cell>
          <cell r="BQ72">
            <v>1159687.1612903215</v>
          </cell>
          <cell r="BR72">
            <v>1166577.693548386</v>
          </cell>
          <cell r="BS72">
            <v>1173468.2258064505</v>
          </cell>
          <cell r="BT72">
            <v>1180358.758064515</v>
          </cell>
          <cell r="BU72">
            <v>1187249.2903225794</v>
          </cell>
          <cell r="BV72">
            <v>1194139.8225806439</v>
          </cell>
          <cell r="BW72">
            <v>1201030.3548387084</v>
          </cell>
          <cell r="BX72">
            <v>1207920.8870967729</v>
          </cell>
          <cell r="BY72">
            <v>1214811.4193548374</v>
          </cell>
          <cell r="BZ72">
            <v>1221701.9516129019</v>
          </cell>
          <cell r="CA72">
            <v>1228592.4838709664</v>
          </cell>
          <cell r="CB72">
            <v>1235483.0161290308</v>
          </cell>
          <cell r="CC72">
            <v>1242373.5483870953</v>
          </cell>
          <cell r="CD72">
            <v>1249264.0806451598</v>
          </cell>
        </row>
        <row r="73">
          <cell r="A73" t="str">
            <v>E1</v>
          </cell>
          <cell r="B73">
            <v>484415</v>
          </cell>
          <cell r="C73">
            <v>498328.06451612903</v>
          </cell>
          <cell r="D73">
            <v>512241.12903225806</v>
          </cell>
          <cell r="E73">
            <v>526154.19354838715</v>
          </cell>
          <cell r="F73">
            <v>540067.25806451624</v>
          </cell>
          <cell r="G73">
            <v>553980.32258064533</v>
          </cell>
          <cell r="H73">
            <v>567893.38709677442</v>
          </cell>
          <cell r="I73">
            <v>581806.4516129035</v>
          </cell>
          <cell r="J73">
            <v>595719.51612903259</v>
          </cell>
          <cell r="K73">
            <v>609632.58064516168</v>
          </cell>
          <cell r="L73">
            <v>623545.64516129077</v>
          </cell>
          <cell r="M73">
            <v>637458.70967741986</v>
          </cell>
          <cell r="N73">
            <v>651371.77419354895</v>
          </cell>
          <cell r="O73">
            <v>665284.83870967804</v>
          </cell>
          <cell r="P73">
            <v>679197.90322580712</v>
          </cell>
          <cell r="Q73">
            <v>693110.96774193621</v>
          </cell>
          <cell r="R73">
            <v>707024.0322580653</v>
          </cell>
          <cell r="S73">
            <v>720937.09677419439</v>
          </cell>
          <cell r="T73">
            <v>734850.16129032348</v>
          </cell>
          <cell r="U73">
            <v>748763.22580645257</v>
          </cell>
          <cell r="V73">
            <v>762676.29032258166</v>
          </cell>
          <cell r="W73">
            <v>776589.35483871074</v>
          </cell>
          <cell r="X73">
            <v>790502.41935483983</v>
          </cell>
          <cell r="Y73">
            <v>804415.48387096892</v>
          </cell>
          <cell r="Z73">
            <v>818328.54838709801</v>
          </cell>
          <cell r="AA73">
            <v>832241.6129032271</v>
          </cell>
          <cell r="AB73">
            <v>846154.67741935619</v>
          </cell>
          <cell r="AC73">
            <v>860067.74193548528</v>
          </cell>
          <cell r="AD73">
            <v>873980.80645161436</v>
          </cell>
          <cell r="AE73">
            <v>887893.87096774345</v>
          </cell>
          <cell r="AF73">
            <v>895494.43548387173</v>
          </cell>
          <cell r="AG73">
            <v>903095</v>
          </cell>
          <cell r="AH73">
            <v>909847.90322580643</v>
          </cell>
          <cell r="AI73">
            <v>916600.80645161285</v>
          </cell>
          <cell r="AJ73">
            <v>923353.70967741928</v>
          </cell>
          <cell r="AK73">
            <v>930106.6129032257</v>
          </cell>
          <cell r="AL73">
            <v>936859.51612903213</v>
          </cell>
          <cell r="AM73">
            <v>943612.41935483855</v>
          </cell>
          <cell r="AN73">
            <v>950365.32258064498</v>
          </cell>
          <cell r="AO73">
            <v>957118.2258064514</v>
          </cell>
          <cell r="AP73">
            <v>963871.12903225783</v>
          </cell>
          <cell r="AQ73">
            <v>970624.03225806425</v>
          </cell>
          <cell r="AR73">
            <v>977376.93548387068</v>
          </cell>
          <cell r="AS73">
            <v>984129.8387096771</v>
          </cell>
          <cell r="AT73">
            <v>990882.74193548353</v>
          </cell>
          <cell r="AU73">
            <v>997635.64516128995</v>
          </cell>
          <cell r="AV73">
            <v>1004388.5483870964</v>
          </cell>
          <cell r="AW73">
            <v>1011141.4516129028</v>
          </cell>
          <cell r="AX73">
            <v>1017894.3548387092</v>
          </cell>
          <cell r="AY73">
            <v>1024647.2580645157</v>
          </cell>
          <cell r="AZ73">
            <v>1031400.1612903221</v>
          </cell>
          <cell r="BA73">
            <v>1038153.0645161285</v>
          </cell>
          <cell r="BB73">
            <v>1044905.9677419349</v>
          </cell>
          <cell r="BC73">
            <v>1051658.8709677414</v>
          </cell>
          <cell r="BD73">
            <v>1058411.7741935479</v>
          </cell>
          <cell r="BE73">
            <v>1065164.6774193544</v>
          </cell>
          <cell r="BF73">
            <v>1071917.580645161</v>
          </cell>
          <cell r="BG73">
            <v>1078670.4838709675</v>
          </cell>
          <cell r="BH73">
            <v>1085423.3870967741</v>
          </cell>
          <cell r="BI73">
            <v>1092176.2903225806</v>
          </cell>
          <cell r="BJ73">
            <v>1098929.1935483871</v>
          </cell>
          <cell r="BK73">
            <v>1105682.0967741937</v>
          </cell>
          <cell r="BL73">
            <v>1112435.0000000002</v>
          </cell>
          <cell r="BM73">
            <v>1119187.9032258068</v>
          </cell>
          <cell r="BN73">
            <v>1125940.8064516133</v>
          </cell>
          <cell r="BO73">
            <v>1132693.7096774199</v>
          </cell>
          <cell r="BP73">
            <v>1139446.6129032264</v>
          </cell>
          <cell r="BQ73">
            <v>1146199.5161290329</v>
          </cell>
          <cell r="BR73">
            <v>1152952.4193548395</v>
          </cell>
          <cell r="BS73">
            <v>1159705.322580646</v>
          </cell>
          <cell r="BT73">
            <v>1166458.2258064526</v>
          </cell>
          <cell r="BU73">
            <v>1173211.1290322591</v>
          </cell>
          <cell r="BV73">
            <v>1179964.0322580657</v>
          </cell>
          <cell r="BW73">
            <v>1186716.9354838722</v>
          </cell>
          <cell r="BX73">
            <v>1193469.8387096787</v>
          </cell>
          <cell r="BY73">
            <v>1200222.7419354853</v>
          </cell>
          <cell r="BZ73">
            <v>1206975.6451612918</v>
          </cell>
          <cell r="CA73">
            <v>1213728.5483870984</v>
          </cell>
          <cell r="CB73">
            <v>1220481.4516129049</v>
          </cell>
          <cell r="CC73">
            <v>1227234.3548387114</v>
          </cell>
          <cell r="CD73">
            <v>1233987.258064518</v>
          </cell>
        </row>
        <row r="74">
          <cell r="A74" t="str">
            <v>F1</v>
          </cell>
          <cell r="B74">
            <v>484415</v>
          </cell>
          <cell r="C74">
            <v>498328.06451612903</v>
          </cell>
          <cell r="D74">
            <v>512241.12903225806</v>
          </cell>
          <cell r="E74">
            <v>526154.19354838715</v>
          </cell>
          <cell r="F74">
            <v>540067.25806451624</v>
          </cell>
          <cell r="G74">
            <v>553980.32258064533</v>
          </cell>
          <cell r="H74">
            <v>567893.38709677442</v>
          </cell>
          <cell r="I74">
            <v>581806.4516129035</v>
          </cell>
          <cell r="J74">
            <v>595719.51612903259</v>
          </cell>
          <cell r="K74">
            <v>609632.58064516168</v>
          </cell>
          <cell r="L74">
            <v>623545.64516129077</v>
          </cell>
          <cell r="M74">
            <v>637458.70967741986</v>
          </cell>
          <cell r="N74">
            <v>651371.77419354895</v>
          </cell>
          <cell r="O74">
            <v>665284.83870967804</v>
          </cell>
          <cell r="P74">
            <v>679197.90322580712</v>
          </cell>
          <cell r="Q74">
            <v>693110.96774193621</v>
          </cell>
          <cell r="R74">
            <v>707024.0322580653</v>
          </cell>
          <cell r="S74">
            <v>720937.09677419439</v>
          </cell>
          <cell r="T74">
            <v>734850.16129032348</v>
          </cell>
          <cell r="U74">
            <v>748763.22580645257</v>
          </cell>
          <cell r="V74">
            <v>762676.29032258166</v>
          </cell>
          <cell r="W74">
            <v>776589.35483871074</v>
          </cell>
          <cell r="X74">
            <v>790502.41935483983</v>
          </cell>
          <cell r="Y74">
            <v>804415.48387096892</v>
          </cell>
          <cell r="Z74">
            <v>818328.54838709801</v>
          </cell>
          <cell r="AA74">
            <v>832241.6129032271</v>
          </cell>
          <cell r="AB74">
            <v>846154.67741935619</v>
          </cell>
          <cell r="AC74">
            <v>860067.74193548528</v>
          </cell>
          <cell r="AD74">
            <v>873980.80645161436</v>
          </cell>
          <cell r="AE74">
            <v>887893.87096774345</v>
          </cell>
          <cell r="AF74">
            <v>901806.93548387254</v>
          </cell>
          <cell r="AG74">
            <v>836977</v>
          </cell>
          <cell r="AH74">
            <v>842663.48387096776</v>
          </cell>
          <cell r="AI74">
            <v>848349.96774193551</v>
          </cell>
          <cell r="AJ74">
            <v>854036.45161290327</v>
          </cell>
          <cell r="AK74">
            <v>859722.93548387103</v>
          </cell>
          <cell r="AL74">
            <v>865409.41935483878</v>
          </cell>
          <cell r="AM74">
            <v>871095.90322580654</v>
          </cell>
          <cell r="AN74">
            <v>876782.3870967743</v>
          </cell>
          <cell r="AO74">
            <v>882468.87096774206</v>
          </cell>
          <cell r="AP74">
            <v>888155.35483870981</v>
          </cell>
          <cell r="AQ74">
            <v>893841.83870967757</v>
          </cell>
          <cell r="AR74">
            <v>899528.32258064533</v>
          </cell>
          <cell r="AS74">
            <v>905214.80645161308</v>
          </cell>
          <cell r="AT74">
            <v>910901.29032258084</v>
          </cell>
          <cell r="AU74">
            <v>916587.7741935486</v>
          </cell>
          <cell r="AV74">
            <v>922274.25806451635</v>
          </cell>
          <cell r="AW74">
            <v>927960.74193548411</v>
          </cell>
          <cell r="AX74">
            <v>933647.22580645187</v>
          </cell>
          <cell r="AY74">
            <v>939333.70967741963</v>
          </cell>
          <cell r="AZ74">
            <v>945020.19354838738</v>
          </cell>
          <cell r="BA74">
            <v>950706.67741935514</v>
          </cell>
          <cell r="BB74">
            <v>956393.1612903229</v>
          </cell>
          <cell r="BC74">
            <v>962079.64516129065</v>
          </cell>
          <cell r="BD74">
            <v>967766.12903225841</v>
          </cell>
          <cell r="BE74">
            <v>973452.61290322617</v>
          </cell>
          <cell r="BF74">
            <v>979139.09677419392</v>
          </cell>
          <cell r="BG74">
            <v>984825.58064516168</v>
          </cell>
          <cell r="BH74">
            <v>990512.06451612944</v>
          </cell>
          <cell r="BI74">
            <v>996198.54838709719</v>
          </cell>
          <cell r="BJ74">
            <v>1001885.032258065</v>
          </cell>
          <cell r="BK74">
            <v>1007571.5161290327</v>
          </cell>
          <cell r="BL74">
            <v>1013258.0000000005</v>
          </cell>
          <cell r="BM74">
            <v>1018944.4838709682</v>
          </cell>
          <cell r="BN74">
            <v>1024630.967741936</v>
          </cell>
          <cell r="BO74">
            <v>1030317.4516129037</v>
          </cell>
          <cell r="BP74">
            <v>1036003.9354838715</v>
          </cell>
          <cell r="BQ74">
            <v>1041690.4193548393</v>
          </cell>
          <cell r="BR74">
            <v>1047376.903225807</v>
          </cell>
          <cell r="BS74">
            <v>1053063.3870967748</v>
          </cell>
          <cell r="BT74">
            <v>1058749.8709677425</v>
          </cell>
          <cell r="BU74">
            <v>1064436.3548387103</v>
          </cell>
          <cell r="BV74">
            <v>1070122.838709678</v>
          </cell>
          <cell r="BW74">
            <v>1075809.3225806458</v>
          </cell>
          <cell r="BX74">
            <v>1081495.8064516135</v>
          </cell>
          <cell r="BY74">
            <v>1087182.2903225813</v>
          </cell>
          <cell r="BZ74">
            <v>1092868.7741935491</v>
          </cell>
          <cell r="CA74">
            <v>1098555.2580645168</v>
          </cell>
          <cell r="CB74">
            <v>1104241.7419354846</v>
          </cell>
          <cell r="CC74">
            <v>1109928.2258064523</v>
          </cell>
          <cell r="CD74">
            <v>1115614.7096774201</v>
          </cell>
        </row>
        <row r="75">
          <cell r="A75" t="str">
            <v>A2</v>
          </cell>
          <cell r="B75">
            <v>484415</v>
          </cell>
          <cell r="C75">
            <v>497977.12903225806</v>
          </cell>
          <cell r="D75">
            <v>511539.25806451612</v>
          </cell>
          <cell r="E75">
            <v>525101.38709677418</v>
          </cell>
          <cell r="F75">
            <v>538663.51612903224</v>
          </cell>
          <cell r="G75">
            <v>552225.6451612903</v>
          </cell>
          <cell r="H75">
            <v>565787.77419354836</v>
          </cell>
          <cell r="I75">
            <v>579349.90322580643</v>
          </cell>
          <cell r="J75">
            <v>592912.03225806449</v>
          </cell>
          <cell r="K75">
            <v>606474.16129032255</v>
          </cell>
          <cell r="L75">
            <v>620036.29032258061</v>
          </cell>
          <cell r="M75">
            <v>633598.41935483867</v>
          </cell>
          <cell r="N75">
            <v>647160.54838709673</v>
          </cell>
          <cell r="O75">
            <v>660722.67741935479</v>
          </cell>
          <cell r="P75">
            <v>674284.80645161285</v>
          </cell>
          <cell r="Q75">
            <v>687846.93548387091</v>
          </cell>
          <cell r="R75">
            <v>701409.06451612897</v>
          </cell>
          <cell r="S75">
            <v>714971.19354838703</v>
          </cell>
          <cell r="T75">
            <v>728533.32258064509</v>
          </cell>
          <cell r="U75">
            <v>742095.45161290315</v>
          </cell>
          <cell r="V75">
            <v>755657.58064516122</v>
          </cell>
          <cell r="W75">
            <v>769219.70967741928</v>
          </cell>
          <cell r="X75">
            <v>782781.83870967734</v>
          </cell>
          <cell r="Y75">
            <v>796343.9677419354</v>
          </cell>
          <cell r="Z75">
            <v>809906.09677419346</v>
          </cell>
          <cell r="AA75">
            <v>823468.22580645152</v>
          </cell>
          <cell r="AB75">
            <v>837030.35483870958</v>
          </cell>
          <cell r="AC75">
            <v>850592.48387096764</v>
          </cell>
          <cell r="AD75">
            <v>864154.6129032257</v>
          </cell>
          <cell r="AE75">
            <v>877716.74193548376</v>
          </cell>
          <cell r="AF75">
            <v>891278.87096774182</v>
          </cell>
          <cell r="AG75">
            <v>904841</v>
          </cell>
          <cell r="AH75">
            <v>911622.06451612909</v>
          </cell>
          <cell r="AI75">
            <v>918403.12903225818</v>
          </cell>
          <cell r="AJ75">
            <v>925184.19354838727</v>
          </cell>
          <cell r="AK75">
            <v>931965.25806451635</v>
          </cell>
          <cell r="AL75">
            <v>938746.32258064544</v>
          </cell>
          <cell r="AM75">
            <v>945527.38709677453</v>
          </cell>
          <cell r="AN75">
            <v>952308.45161290362</v>
          </cell>
          <cell r="AO75">
            <v>959089.51612903271</v>
          </cell>
          <cell r="AP75">
            <v>965870.5806451618</v>
          </cell>
          <cell r="AQ75">
            <v>972651.64516129089</v>
          </cell>
          <cell r="AR75">
            <v>979432.70967741997</v>
          </cell>
          <cell r="AS75">
            <v>986213.77419354906</v>
          </cell>
          <cell r="AT75">
            <v>992994.83870967815</v>
          </cell>
          <cell r="AU75">
            <v>999775.90322580724</v>
          </cell>
          <cell r="AV75">
            <v>1006556.9677419363</v>
          </cell>
          <cell r="AW75">
            <v>1013338.0322580654</v>
          </cell>
          <cell r="AX75">
            <v>1020119.0967741945</v>
          </cell>
          <cell r="AY75">
            <v>1026900.1612903236</v>
          </cell>
          <cell r="AZ75">
            <v>1033681.2258064527</v>
          </cell>
          <cell r="BA75">
            <v>1040462.2903225818</v>
          </cell>
          <cell r="BB75">
            <v>1047243.3548387109</v>
          </cell>
          <cell r="BC75">
            <v>1054024.4193548399</v>
          </cell>
          <cell r="BD75">
            <v>1060805.4838709689</v>
          </cell>
          <cell r="BE75">
            <v>1067586.5483870979</v>
          </cell>
          <cell r="BF75">
            <v>1074367.6129032269</v>
          </cell>
          <cell r="BG75">
            <v>1081148.6774193558</v>
          </cell>
          <cell r="BH75">
            <v>1087929.7419354848</v>
          </cell>
          <cell r="BI75">
            <v>1094710.8064516138</v>
          </cell>
          <cell r="BJ75">
            <v>1101491.8709677428</v>
          </cell>
          <cell r="BK75">
            <v>1108272.9354838717</v>
          </cell>
          <cell r="BL75">
            <v>1115054.0000000007</v>
          </cell>
          <cell r="BM75">
            <v>1121835.0645161297</v>
          </cell>
          <cell r="BN75">
            <v>1128616.1290322586</v>
          </cell>
          <cell r="BO75">
            <v>1135397.1935483876</v>
          </cell>
          <cell r="BP75">
            <v>1142178.2580645166</v>
          </cell>
          <cell r="BQ75">
            <v>1148959.3225806456</v>
          </cell>
          <cell r="BR75">
            <v>1155740.3870967745</v>
          </cell>
          <cell r="BS75">
            <v>1162521.4516129035</v>
          </cell>
          <cell r="BT75">
            <v>1169302.5161290325</v>
          </cell>
          <cell r="BU75">
            <v>1176083.5806451614</v>
          </cell>
          <cell r="BV75">
            <v>1182864.6451612904</v>
          </cell>
          <cell r="BW75">
            <v>1189645.7096774194</v>
          </cell>
          <cell r="BX75">
            <v>1196426.7741935484</v>
          </cell>
          <cell r="BY75">
            <v>1203207.8387096773</v>
          </cell>
          <cell r="BZ75">
            <v>1209988.9032258063</v>
          </cell>
          <cell r="CA75">
            <v>1216769.9677419353</v>
          </cell>
          <cell r="CB75">
            <v>1223551.0322580643</v>
          </cell>
          <cell r="CC75">
            <v>1230332.0967741932</v>
          </cell>
          <cell r="CD75">
            <v>1237113.1612903222</v>
          </cell>
        </row>
        <row r="76">
          <cell r="A76" t="str">
            <v>B2</v>
          </cell>
          <cell r="B76">
            <v>484415</v>
          </cell>
          <cell r="C76">
            <v>498328.06451612903</v>
          </cell>
          <cell r="D76">
            <v>512241.12903225806</v>
          </cell>
          <cell r="E76">
            <v>526154.19354838715</v>
          </cell>
          <cell r="F76">
            <v>540067.25806451624</v>
          </cell>
          <cell r="G76">
            <v>553980.32258064533</v>
          </cell>
          <cell r="H76">
            <v>567893.38709677442</v>
          </cell>
          <cell r="I76">
            <v>581806.4516129035</v>
          </cell>
          <cell r="J76">
            <v>595719.51612903259</v>
          </cell>
          <cell r="K76">
            <v>609632.58064516168</v>
          </cell>
          <cell r="L76">
            <v>623545.64516129077</v>
          </cell>
          <cell r="M76">
            <v>637458.70967741986</v>
          </cell>
          <cell r="N76">
            <v>651371.77419354895</v>
          </cell>
          <cell r="O76">
            <v>665284.83870967804</v>
          </cell>
          <cell r="P76">
            <v>679197.90322580712</v>
          </cell>
          <cell r="Q76">
            <v>693110.96774193621</v>
          </cell>
          <cell r="R76">
            <v>707024.0322580653</v>
          </cell>
          <cell r="S76">
            <v>720937.09677419439</v>
          </cell>
          <cell r="T76">
            <v>734850.16129032348</v>
          </cell>
          <cell r="U76">
            <v>748763.22580645257</v>
          </cell>
          <cell r="V76">
            <v>762676.29032258166</v>
          </cell>
          <cell r="W76">
            <v>776589.35483871074</v>
          </cell>
          <cell r="X76">
            <v>790502.41935483983</v>
          </cell>
          <cell r="Y76">
            <v>804415.48387096892</v>
          </cell>
          <cell r="Z76">
            <v>818328.54838709801</v>
          </cell>
          <cell r="AA76">
            <v>832241.6129032271</v>
          </cell>
          <cell r="AB76">
            <v>846154.67741935619</v>
          </cell>
          <cell r="AC76">
            <v>860067.74193548528</v>
          </cell>
          <cell r="AD76">
            <v>873980.80645161436</v>
          </cell>
          <cell r="AE76">
            <v>887893.87096774345</v>
          </cell>
          <cell r="AF76">
            <v>891830.43548387173</v>
          </cell>
          <cell r="AG76">
            <v>895767</v>
          </cell>
          <cell r="AH76">
            <v>902401.70967741939</v>
          </cell>
          <cell r="AI76">
            <v>909036.41935483878</v>
          </cell>
          <cell r="AJ76">
            <v>915671.12903225818</v>
          </cell>
          <cell r="AK76">
            <v>922305.83870967757</v>
          </cell>
          <cell r="AL76">
            <v>928940.54838709696</v>
          </cell>
          <cell r="AM76">
            <v>935575.25806451635</v>
          </cell>
          <cell r="AN76">
            <v>942209.96774193575</v>
          </cell>
          <cell r="AO76">
            <v>948844.67741935514</v>
          </cell>
          <cell r="AP76">
            <v>955479.38709677453</v>
          </cell>
          <cell r="AQ76">
            <v>962114.09677419392</v>
          </cell>
          <cell r="AR76">
            <v>968748.80645161332</v>
          </cell>
          <cell r="AS76">
            <v>975383.51612903271</v>
          </cell>
          <cell r="AT76">
            <v>982018.2258064521</v>
          </cell>
          <cell r="AU76">
            <v>988652.93548387149</v>
          </cell>
          <cell r="AV76">
            <v>995287.64516129089</v>
          </cell>
          <cell r="AW76">
            <v>1001922.3548387103</v>
          </cell>
          <cell r="AX76">
            <v>1008557.0645161297</v>
          </cell>
          <cell r="AY76">
            <v>1015191.7741935491</v>
          </cell>
          <cell r="AZ76">
            <v>1021826.4838709685</v>
          </cell>
          <cell r="BA76">
            <v>1028461.1935483878</v>
          </cell>
          <cell r="BB76">
            <v>1035095.9032258072</v>
          </cell>
          <cell r="BC76">
            <v>1041730.6129032266</v>
          </cell>
          <cell r="BD76">
            <v>1048365.322580646</v>
          </cell>
          <cell r="BE76">
            <v>1055000.0322580654</v>
          </cell>
          <cell r="BF76">
            <v>1061634.7419354848</v>
          </cell>
          <cell r="BG76">
            <v>1068269.4516129042</v>
          </cell>
          <cell r="BH76">
            <v>1074904.1612903236</v>
          </cell>
          <cell r="BI76">
            <v>1081538.870967743</v>
          </cell>
          <cell r="BJ76">
            <v>1088173.5806451624</v>
          </cell>
          <cell r="BK76">
            <v>1094808.2903225818</v>
          </cell>
          <cell r="BL76">
            <v>1101443.0000000012</v>
          </cell>
          <cell r="BM76">
            <v>1108077.7096774206</v>
          </cell>
          <cell r="BN76">
            <v>1114712.4193548399</v>
          </cell>
          <cell r="BO76">
            <v>1121347.1290322593</v>
          </cell>
          <cell r="BP76">
            <v>1127981.8387096787</v>
          </cell>
          <cell r="BQ76">
            <v>1134616.5483870981</v>
          </cell>
          <cell r="BR76">
            <v>1141251.2580645175</v>
          </cell>
          <cell r="BS76">
            <v>1147885.9677419369</v>
          </cell>
          <cell r="BT76">
            <v>1154520.6774193563</v>
          </cell>
          <cell r="BU76">
            <v>1161155.3870967757</v>
          </cell>
          <cell r="BV76">
            <v>1167790.0967741951</v>
          </cell>
          <cell r="BW76">
            <v>1174424.8064516145</v>
          </cell>
          <cell r="BX76">
            <v>1181059.5161290339</v>
          </cell>
          <cell r="BY76">
            <v>1187694.2258064533</v>
          </cell>
          <cell r="BZ76">
            <v>1194328.9354838727</v>
          </cell>
          <cell r="CA76">
            <v>1200963.6451612921</v>
          </cell>
          <cell r="CB76">
            <v>1207598.3548387114</v>
          </cell>
          <cell r="CC76">
            <v>1214233.0645161308</v>
          </cell>
          <cell r="CD76">
            <v>1220867.7741935502</v>
          </cell>
        </row>
        <row r="77">
          <cell r="A77" t="str">
            <v>C2</v>
          </cell>
          <cell r="B77">
            <v>484415</v>
          </cell>
          <cell r="C77">
            <v>498328.06451612903</v>
          </cell>
          <cell r="D77">
            <v>512241.12903225806</v>
          </cell>
          <cell r="E77">
            <v>526154.19354838715</v>
          </cell>
          <cell r="F77">
            <v>540067.25806451624</v>
          </cell>
          <cell r="G77">
            <v>553980.32258064533</v>
          </cell>
          <cell r="H77">
            <v>567893.38709677442</v>
          </cell>
          <cell r="I77">
            <v>581806.4516129035</v>
          </cell>
          <cell r="J77">
            <v>595719.51612903259</v>
          </cell>
          <cell r="K77">
            <v>609632.58064516168</v>
          </cell>
          <cell r="L77">
            <v>623545.64516129077</v>
          </cell>
          <cell r="M77">
            <v>637458.70967741986</v>
          </cell>
          <cell r="N77">
            <v>651371.77419354895</v>
          </cell>
          <cell r="O77">
            <v>665284.83870967804</v>
          </cell>
          <cell r="P77">
            <v>679197.90322580712</v>
          </cell>
          <cell r="Q77">
            <v>693110.96774193621</v>
          </cell>
          <cell r="R77">
            <v>707024.0322580653</v>
          </cell>
          <cell r="S77">
            <v>720937.09677419439</v>
          </cell>
          <cell r="T77">
            <v>734850.16129032348</v>
          </cell>
          <cell r="U77">
            <v>748763.22580645257</v>
          </cell>
          <cell r="V77">
            <v>762676.29032258166</v>
          </cell>
          <cell r="W77">
            <v>776589.35483871074</v>
          </cell>
          <cell r="X77">
            <v>790502.41935483983</v>
          </cell>
          <cell r="Y77">
            <v>804415.48387096892</v>
          </cell>
          <cell r="Z77">
            <v>815847.79838709778</v>
          </cell>
          <cell r="AA77">
            <v>827280.11290322663</v>
          </cell>
          <cell r="AB77">
            <v>838712.42741935549</v>
          </cell>
          <cell r="AC77">
            <v>850144.74193548434</v>
          </cell>
          <cell r="AD77">
            <v>861577.05645161332</v>
          </cell>
          <cell r="AE77">
            <v>873009.37096774217</v>
          </cell>
          <cell r="AF77">
            <v>884441.68548387103</v>
          </cell>
          <cell r="AG77">
            <v>895874</v>
          </cell>
          <cell r="AH77">
            <v>902510.43548387091</v>
          </cell>
          <cell r="AI77">
            <v>909146.87096774182</v>
          </cell>
          <cell r="AJ77">
            <v>915783.30645161273</v>
          </cell>
          <cell r="AK77">
            <v>922419.74193548365</v>
          </cell>
          <cell r="AL77">
            <v>929056.17741935456</v>
          </cell>
          <cell r="AM77">
            <v>935692.61290322547</v>
          </cell>
          <cell r="AN77">
            <v>942329.04838709638</v>
          </cell>
          <cell r="AO77">
            <v>948965.48387096729</v>
          </cell>
          <cell r="AP77">
            <v>955601.9193548382</v>
          </cell>
          <cell r="AQ77">
            <v>962238.35483870911</v>
          </cell>
          <cell r="AR77">
            <v>968874.79032258003</v>
          </cell>
          <cell r="AS77">
            <v>975511.22580645094</v>
          </cell>
          <cell r="AT77">
            <v>982147.66129032185</v>
          </cell>
          <cell r="AU77">
            <v>988784.09677419276</v>
          </cell>
          <cell r="AV77">
            <v>995420.53225806367</v>
          </cell>
          <cell r="AW77">
            <v>1002056.9677419346</v>
          </cell>
          <cell r="AX77">
            <v>1008693.4032258055</v>
          </cell>
          <cell r="AY77">
            <v>1015329.8387096764</v>
          </cell>
          <cell r="AZ77">
            <v>1021966.2741935473</v>
          </cell>
          <cell r="BA77">
            <v>1028602.7096774182</v>
          </cell>
          <cell r="BB77">
            <v>1035239.1451612891</v>
          </cell>
          <cell r="BC77">
            <v>1041875.5806451601</v>
          </cell>
          <cell r="BD77">
            <v>1048512.016129031</v>
          </cell>
          <cell r="BE77">
            <v>1055148.4516129019</v>
          </cell>
          <cell r="BF77">
            <v>1061784.8870967729</v>
          </cell>
          <cell r="BG77">
            <v>1068421.3225806439</v>
          </cell>
          <cell r="BH77">
            <v>1075057.758064515</v>
          </cell>
          <cell r="BI77">
            <v>1081694.193548386</v>
          </cell>
          <cell r="BJ77">
            <v>1088330.629032257</v>
          </cell>
          <cell r="BK77">
            <v>1094967.064516128</v>
          </cell>
          <cell r="BL77">
            <v>1101603.4999999991</v>
          </cell>
          <cell r="BM77">
            <v>1108239.9354838701</v>
          </cell>
          <cell r="BN77">
            <v>1114876.3709677411</v>
          </cell>
          <cell r="BO77">
            <v>1121512.8064516122</v>
          </cell>
          <cell r="BP77">
            <v>1128149.2419354832</v>
          </cell>
          <cell r="BQ77">
            <v>1134785.6774193542</v>
          </cell>
          <cell r="BR77">
            <v>1141422.1129032252</v>
          </cell>
          <cell r="BS77">
            <v>1148058.5483870963</v>
          </cell>
          <cell r="BT77">
            <v>1154694.9838709673</v>
          </cell>
          <cell r="BU77">
            <v>1161331.4193548383</v>
          </cell>
          <cell r="BV77">
            <v>1167967.8548387093</v>
          </cell>
          <cell r="BW77">
            <v>1174604.2903225804</v>
          </cell>
          <cell r="BX77">
            <v>1181240.7258064514</v>
          </cell>
          <cell r="BY77">
            <v>1187877.1612903224</v>
          </cell>
          <cell r="BZ77">
            <v>1194513.5967741935</v>
          </cell>
          <cell r="CA77">
            <v>1201150.0322580645</v>
          </cell>
          <cell r="CB77">
            <v>1207786.4677419355</v>
          </cell>
          <cell r="CC77">
            <v>1214422.9032258065</v>
          </cell>
          <cell r="CD77">
            <v>1221059.3387096776</v>
          </cell>
        </row>
        <row r="78">
          <cell r="A78" t="str">
            <v>D2</v>
          </cell>
          <cell r="B78">
            <v>484415</v>
          </cell>
          <cell r="C78">
            <v>498328.06451612903</v>
          </cell>
          <cell r="D78">
            <v>512241.12903225806</v>
          </cell>
          <cell r="E78">
            <v>526154.19354838715</v>
          </cell>
          <cell r="F78">
            <v>540067.25806451624</v>
          </cell>
          <cell r="G78">
            <v>553980.32258064533</v>
          </cell>
          <cell r="H78">
            <v>567893.38709677442</v>
          </cell>
          <cell r="I78">
            <v>581806.4516129035</v>
          </cell>
          <cell r="J78">
            <v>595719.51612903259</v>
          </cell>
          <cell r="K78">
            <v>609632.58064516168</v>
          </cell>
          <cell r="L78">
            <v>623545.64516129077</v>
          </cell>
          <cell r="M78">
            <v>637458.70967741986</v>
          </cell>
          <cell r="N78">
            <v>651371.77419354895</v>
          </cell>
          <cell r="O78">
            <v>665284.83870967804</v>
          </cell>
          <cell r="P78">
            <v>679197.90322580712</v>
          </cell>
          <cell r="Q78">
            <v>693110.96774193621</v>
          </cell>
          <cell r="R78">
            <v>707024.0322580653</v>
          </cell>
          <cell r="S78">
            <v>720937.09677419439</v>
          </cell>
          <cell r="T78">
            <v>734850.16129032348</v>
          </cell>
          <cell r="U78">
            <v>748763.22580645257</v>
          </cell>
          <cell r="V78">
            <v>762676.29032258166</v>
          </cell>
          <cell r="W78">
            <v>776589.35483871074</v>
          </cell>
          <cell r="X78">
            <v>790502.41935483983</v>
          </cell>
          <cell r="Y78">
            <v>802725.03942652431</v>
          </cell>
          <cell r="Z78">
            <v>814947.65949820878</v>
          </cell>
          <cell r="AA78">
            <v>827170.27956989326</v>
          </cell>
          <cell r="AB78">
            <v>839392.89964157774</v>
          </cell>
          <cell r="AC78">
            <v>851615.51971326221</v>
          </cell>
          <cell r="AD78">
            <v>863838.13978494669</v>
          </cell>
          <cell r="AE78">
            <v>876060.75985663116</v>
          </cell>
          <cell r="AF78">
            <v>888283.37992831552</v>
          </cell>
          <cell r="AG78">
            <v>900506</v>
          </cell>
          <cell r="AH78">
            <v>907217.1451612903</v>
          </cell>
          <cell r="AI78">
            <v>913928.29032258061</v>
          </cell>
          <cell r="AJ78">
            <v>920639.43548387091</v>
          </cell>
          <cell r="AK78">
            <v>927350.58064516122</v>
          </cell>
          <cell r="AL78">
            <v>934061.72580645152</v>
          </cell>
          <cell r="AM78">
            <v>940772.87096774182</v>
          </cell>
          <cell r="AN78">
            <v>947484.01612903213</v>
          </cell>
          <cell r="AO78">
            <v>954195.16129032243</v>
          </cell>
          <cell r="AP78">
            <v>960906.30645161273</v>
          </cell>
          <cell r="AQ78">
            <v>967617.45161290304</v>
          </cell>
          <cell r="AR78">
            <v>974328.59677419334</v>
          </cell>
          <cell r="AS78">
            <v>981039.74193548365</v>
          </cell>
          <cell r="AT78">
            <v>987750.88709677395</v>
          </cell>
          <cell r="AU78">
            <v>994462.03225806425</v>
          </cell>
          <cell r="AV78">
            <v>1001173.1774193546</v>
          </cell>
          <cell r="AW78">
            <v>1007884.3225806449</v>
          </cell>
          <cell r="AX78">
            <v>1014595.4677419352</v>
          </cell>
          <cell r="AY78">
            <v>1021306.6129032255</v>
          </cell>
          <cell r="AZ78">
            <v>1028017.7580645158</v>
          </cell>
          <cell r="BA78">
            <v>1034728.9032258061</v>
          </cell>
          <cell r="BB78">
            <v>1041440.0483870964</v>
          </cell>
          <cell r="BC78">
            <v>1048151.1935483867</v>
          </cell>
          <cell r="BD78">
            <v>1054862.3387096771</v>
          </cell>
          <cell r="BE78">
            <v>1061573.4838709675</v>
          </cell>
          <cell r="BF78">
            <v>1068284.6290322579</v>
          </cell>
          <cell r="BG78">
            <v>1074995.7741935484</v>
          </cell>
          <cell r="BH78">
            <v>1081706.9193548388</v>
          </cell>
          <cell r="BI78">
            <v>1088418.0645161292</v>
          </cell>
          <cell r="BJ78">
            <v>1095129.2096774196</v>
          </cell>
          <cell r="BK78">
            <v>1101840.35483871</v>
          </cell>
          <cell r="BL78">
            <v>1108551.5000000005</v>
          </cell>
          <cell r="BM78">
            <v>1115262.6451612909</v>
          </cell>
          <cell r="BN78">
            <v>1121973.7903225813</v>
          </cell>
          <cell r="BO78">
            <v>1128684.9354838717</v>
          </cell>
          <cell r="BP78">
            <v>1135396.0806451621</v>
          </cell>
          <cell r="BQ78">
            <v>1142107.2258064526</v>
          </cell>
          <cell r="BR78">
            <v>1148818.370967743</v>
          </cell>
          <cell r="BS78">
            <v>1155529.5161290334</v>
          </cell>
          <cell r="BT78">
            <v>1162240.6612903238</v>
          </cell>
          <cell r="BU78">
            <v>1168951.8064516142</v>
          </cell>
          <cell r="BV78">
            <v>1175662.9516129047</v>
          </cell>
          <cell r="BW78">
            <v>1182374.0967741951</v>
          </cell>
          <cell r="BX78">
            <v>1189085.2419354855</v>
          </cell>
          <cell r="BY78">
            <v>1195796.3870967759</v>
          </cell>
          <cell r="BZ78">
            <v>1202507.5322580663</v>
          </cell>
          <cell r="CA78">
            <v>1209218.6774193568</v>
          </cell>
          <cell r="CB78">
            <v>1215929.8225806472</v>
          </cell>
          <cell r="CC78">
            <v>1222640.9677419376</v>
          </cell>
          <cell r="CD78">
            <v>1229352.112903228</v>
          </cell>
        </row>
        <row r="79">
          <cell r="A79" t="str">
            <v>E2</v>
          </cell>
          <cell r="B79">
            <v>484415</v>
          </cell>
          <cell r="C79">
            <v>498328.06451612903</v>
          </cell>
          <cell r="D79">
            <v>512241.12903225806</v>
          </cell>
          <cell r="E79">
            <v>526154.19354838715</v>
          </cell>
          <cell r="F79">
            <v>540067.25806451624</v>
          </cell>
          <cell r="G79">
            <v>553980.32258064533</v>
          </cell>
          <cell r="H79">
            <v>567893.38709677442</v>
          </cell>
          <cell r="I79">
            <v>581806.4516129035</v>
          </cell>
          <cell r="J79">
            <v>595719.51612903259</v>
          </cell>
          <cell r="K79">
            <v>609632.58064516168</v>
          </cell>
          <cell r="L79">
            <v>623545.64516129077</v>
          </cell>
          <cell r="M79">
            <v>637458.70967741986</v>
          </cell>
          <cell r="N79">
            <v>651371.77419354895</v>
          </cell>
          <cell r="O79">
            <v>665284.83870967804</v>
          </cell>
          <cell r="P79">
            <v>679197.90322580712</v>
          </cell>
          <cell r="Q79">
            <v>693110.96774193621</v>
          </cell>
          <cell r="R79">
            <v>707024.0322580653</v>
          </cell>
          <cell r="S79">
            <v>720937.09677419439</v>
          </cell>
          <cell r="T79">
            <v>734850.16129032348</v>
          </cell>
          <cell r="U79">
            <v>748763.22580645257</v>
          </cell>
          <cell r="V79">
            <v>762676.29032258166</v>
          </cell>
          <cell r="W79">
            <v>776589.35483871074</v>
          </cell>
          <cell r="X79">
            <v>790502.41935483983</v>
          </cell>
          <cell r="Y79">
            <v>804415.48387096892</v>
          </cell>
          <cell r="Z79">
            <v>818328.54838709801</v>
          </cell>
          <cell r="AA79">
            <v>832241.6129032271</v>
          </cell>
          <cell r="AB79">
            <v>846154.67741935619</v>
          </cell>
          <cell r="AC79">
            <v>860067.74193548528</v>
          </cell>
          <cell r="AD79">
            <v>873980.80645161436</v>
          </cell>
          <cell r="AE79">
            <v>887893.87096774345</v>
          </cell>
          <cell r="AF79">
            <v>889952.93548387173</v>
          </cell>
          <cell r="AG79">
            <v>892012</v>
          </cell>
          <cell r="AH79">
            <v>898586.1451612903</v>
          </cell>
          <cell r="AI79">
            <v>905160.29032258061</v>
          </cell>
          <cell r="AJ79">
            <v>911734.43548387091</v>
          </cell>
          <cell r="AK79">
            <v>918308.58064516122</v>
          </cell>
          <cell r="AL79">
            <v>924882.72580645152</v>
          </cell>
          <cell r="AM79">
            <v>931456.87096774182</v>
          </cell>
          <cell r="AN79">
            <v>938031.01612903213</v>
          </cell>
          <cell r="AO79">
            <v>944605.16129032243</v>
          </cell>
          <cell r="AP79">
            <v>951179.30645161273</v>
          </cell>
          <cell r="AQ79">
            <v>957753.45161290304</v>
          </cell>
          <cell r="AR79">
            <v>964327.59677419334</v>
          </cell>
          <cell r="AS79">
            <v>970901.74193548365</v>
          </cell>
          <cell r="AT79">
            <v>977475.88709677395</v>
          </cell>
          <cell r="AU79">
            <v>984050.03225806425</v>
          </cell>
          <cell r="AV79">
            <v>990624.17741935456</v>
          </cell>
          <cell r="AW79">
            <v>997198.32258064486</v>
          </cell>
          <cell r="AX79">
            <v>1003772.4677419352</v>
          </cell>
          <cell r="AY79">
            <v>1010346.6129032255</v>
          </cell>
          <cell r="AZ79">
            <v>1016920.7580645158</v>
          </cell>
          <cell r="BA79">
            <v>1023494.9032258061</v>
          </cell>
          <cell r="BB79">
            <v>1030069.0483870964</v>
          </cell>
          <cell r="BC79">
            <v>1036643.1935483867</v>
          </cell>
          <cell r="BD79">
            <v>1043217.338709677</v>
          </cell>
          <cell r="BE79">
            <v>1049791.4838709673</v>
          </cell>
          <cell r="BF79">
            <v>1056365.6290322577</v>
          </cell>
          <cell r="BG79">
            <v>1062939.7741935481</v>
          </cell>
          <cell r="BH79">
            <v>1069513.9193548386</v>
          </cell>
          <cell r="BI79">
            <v>1076088.064516129</v>
          </cell>
          <cell r="BJ79">
            <v>1082662.2096774194</v>
          </cell>
          <cell r="BK79">
            <v>1089236.3548387098</v>
          </cell>
          <cell r="BL79">
            <v>1095810.5000000002</v>
          </cell>
          <cell r="BM79">
            <v>1102384.6451612907</v>
          </cell>
          <cell r="BN79">
            <v>1108958.7903225811</v>
          </cell>
          <cell r="BO79">
            <v>1115532.9354838715</v>
          </cell>
          <cell r="BP79">
            <v>1122107.0806451619</v>
          </cell>
          <cell r="BQ79">
            <v>1128681.2258064523</v>
          </cell>
          <cell r="BR79">
            <v>1135255.3709677428</v>
          </cell>
          <cell r="BS79">
            <v>1141829.5161290332</v>
          </cell>
          <cell r="BT79">
            <v>1148403.6612903236</v>
          </cell>
          <cell r="BU79">
            <v>1154977.806451614</v>
          </cell>
          <cell r="BV79">
            <v>1161551.9516129044</v>
          </cell>
          <cell r="BW79">
            <v>1168126.0967741949</v>
          </cell>
          <cell r="BX79">
            <v>1174700.2419354853</v>
          </cell>
          <cell r="BY79">
            <v>1181274.3870967757</v>
          </cell>
          <cell r="BZ79">
            <v>1187848.5322580661</v>
          </cell>
          <cell r="CA79">
            <v>1194422.6774193565</v>
          </cell>
          <cell r="CB79">
            <v>1200996.822580647</v>
          </cell>
          <cell r="CC79">
            <v>1207570.9677419374</v>
          </cell>
          <cell r="CD79">
            <v>1214145.1129032278</v>
          </cell>
        </row>
        <row r="80">
          <cell r="A80" t="str">
            <v>B3</v>
          </cell>
          <cell r="B80">
            <v>484415</v>
          </cell>
          <cell r="C80">
            <v>498328.06451612903</v>
          </cell>
          <cell r="D80">
            <v>512241.12903225806</v>
          </cell>
          <cell r="E80">
            <v>526154.19354838715</v>
          </cell>
          <cell r="F80">
            <v>540067.25806451624</v>
          </cell>
          <cell r="G80">
            <v>553980.32258064533</v>
          </cell>
          <cell r="H80">
            <v>567893.38709677442</v>
          </cell>
          <cell r="I80">
            <v>581806.4516129035</v>
          </cell>
          <cell r="J80">
            <v>595719.51612903259</v>
          </cell>
          <cell r="K80">
            <v>609632.58064516168</v>
          </cell>
          <cell r="L80">
            <v>623545.64516129077</v>
          </cell>
          <cell r="M80">
            <v>637458.70967741986</v>
          </cell>
          <cell r="N80">
            <v>651371.77419354895</v>
          </cell>
          <cell r="O80">
            <v>665284.83870967804</v>
          </cell>
          <cell r="P80">
            <v>679197.90322580712</v>
          </cell>
          <cell r="Q80">
            <v>693110.96774193621</v>
          </cell>
          <cell r="R80">
            <v>707024.0322580653</v>
          </cell>
          <cell r="S80">
            <v>720937.09677419439</v>
          </cell>
          <cell r="T80">
            <v>734850.16129032348</v>
          </cell>
          <cell r="U80">
            <v>748763.22580645257</v>
          </cell>
          <cell r="V80">
            <v>762676.29032258166</v>
          </cell>
          <cell r="W80">
            <v>776589.35483871074</v>
          </cell>
          <cell r="X80">
            <v>790502.41935483983</v>
          </cell>
          <cell r="Y80">
            <v>804415.48387096892</v>
          </cell>
          <cell r="Z80">
            <v>818328.54838709801</v>
          </cell>
          <cell r="AA80">
            <v>832241.6129032271</v>
          </cell>
          <cell r="AB80">
            <v>846154.67741935619</v>
          </cell>
          <cell r="AC80">
            <v>860067.74193548528</v>
          </cell>
          <cell r="AD80">
            <v>873980.80645161436</v>
          </cell>
          <cell r="AE80">
            <v>887893.87096774345</v>
          </cell>
          <cell r="AF80">
            <v>890241.93548387173</v>
          </cell>
          <cell r="AG80">
            <v>892590</v>
          </cell>
          <cell r="AH80">
            <v>899173.46774193551</v>
          </cell>
          <cell r="AI80">
            <v>905756.93548387103</v>
          </cell>
          <cell r="AJ80">
            <v>912340.40322580654</v>
          </cell>
          <cell r="AK80">
            <v>918923.87096774206</v>
          </cell>
          <cell r="AL80">
            <v>925507.33870967757</v>
          </cell>
          <cell r="AM80">
            <v>932090.80645161308</v>
          </cell>
          <cell r="AN80">
            <v>938674.2741935486</v>
          </cell>
          <cell r="AO80">
            <v>945257.74193548411</v>
          </cell>
          <cell r="AP80">
            <v>951841.20967741963</v>
          </cell>
          <cell r="AQ80">
            <v>958424.67741935514</v>
          </cell>
          <cell r="AR80">
            <v>965008.14516129065</v>
          </cell>
          <cell r="AS80">
            <v>971591.61290322617</v>
          </cell>
          <cell r="AT80">
            <v>978175.08064516168</v>
          </cell>
          <cell r="AU80">
            <v>984758.54838709719</v>
          </cell>
          <cell r="AV80">
            <v>991342.01612903271</v>
          </cell>
          <cell r="AW80">
            <v>997925.48387096822</v>
          </cell>
          <cell r="AX80">
            <v>1004508.9516129037</v>
          </cell>
          <cell r="AY80">
            <v>1011092.4193548393</v>
          </cell>
          <cell r="AZ80">
            <v>1017675.8870967748</v>
          </cell>
          <cell r="BA80">
            <v>1024259.3548387103</v>
          </cell>
          <cell r="BB80">
            <v>1030842.8225806458</v>
          </cell>
          <cell r="BC80">
            <v>1037426.2903225813</v>
          </cell>
          <cell r="BD80">
            <v>1044009.7580645168</v>
          </cell>
          <cell r="BE80">
            <v>1050593.2258064523</v>
          </cell>
          <cell r="BF80">
            <v>1057176.6935483878</v>
          </cell>
          <cell r="BG80">
            <v>1063760.1612903234</v>
          </cell>
          <cell r="BH80">
            <v>1070343.6290322589</v>
          </cell>
          <cell r="BI80">
            <v>1076927.0967741944</v>
          </cell>
          <cell r="BJ80">
            <v>1083510.5645161299</v>
          </cell>
          <cell r="BK80">
            <v>1090094.0322580654</v>
          </cell>
          <cell r="BL80">
            <v>1096677.5000000009</v>
          </cell>
          <cell r="BM80">
            <v>1103260.9677419364</v>
          </cell>
          <cell r="BN80">
            <v>1109844.435483872</v>
          </cell>
          <cell r="BO80">
            <v>1116427.9032258075</v>
          </cell>
          <cell r="BP80">
            <v>1123011.370967743</v>
          </cell>
          <cell r="BQ80">
            <v>1129594.8387096785</v>
          </cell>
          <cell r="BR80">
            <v>1136178.306451614</v>
          </cell>
          <cell r="BS80">
            <v>1142761.7741935495</v>
          </cell>
          <cell r="BT80">
            <v>1149345.241935485</v>
          </cell>
          <cell r="BU80">
            <v>1155928.7096774206</v>
          </cell>
          <cell r="BV80">
            <v>1162512.1774193561</v>
          </cell>
          <cell r="BW80">
            <v>1169095.6451612916</v>
          </cell>
          <cell r="BX80">
            <v>1175679.1129032271</v>
          </cell>
          <cell r="BY80">
            <v>1182262.5806451626</v>
          </cell>
          <cell r="BZ80">
            <v>1188846.0483870981</v>
          </cell>
          <cell r="CA80">
            <v>1195429.5161290336</v>
          </cell>
          <cell r="CB80">
            <v>1202012.9838709692</v>
          </cell>
          <cell r="CC80">
            <v>1208596.4516129047</v>
          </cell>
          <cell r="CD80">
            <v>1215179.9193548402</v>
          </cell>
        </row>
        <row r="81">
          <cell r="A81" t="str">
            <v>F3</v>
          </cell>
          <cell r="B81">
            <v>484415</v>
          </cell>
          <cell r="C81">
            <v>498328.06451612903</v>
          </cell>
          <cell r="D81">
            <v>512241.12903225806</v>
          </cell>
          <cell r="E81">
            <v>526154.19354838715</v>
          </cell>
          <cell r="F81">
            <v>540067.25806451624</v>
          </cell>
          <cell r="G81">
            <v>553980.32258064533</v>
          </cell>
          <cell r="H81">
            <v>567893.38709677442</v>
          </cell>
          <cell r="I81">
            <v>581806.4516129035</v>
          </cell>
          <cell r="J81">
            <v>595719.51612903259</v>
          </cell>
          <cell r="K81">
            <v>609632.58064516168</v>
          </cell>
          <cell r="L81">
            <v>623545.64516129077</v>
          </cell>
          <cell r="M81">
            <v>637458.70967741986</v>
          </cell>
          <cell r="N81">
            <v>651371.77419354895</v>
          </cell>
          <cell r="O81">
            <v>665284.83870967804</v>
          </cell>
          <cell r="P81">
            <v>679197.90322580712</v>
          </cell>
          <cell r="Q81">
            <v>693110.96774193621</v>
          </cell>
          <cell r="R81">
            <v>707024.0322580653</v>
          </cell>
          <cell r="S81">
            <v>720937.09677419439</v>
          </cell>
          <cell r="T81">
            <v>734850.16129032348</v>
          </cell>
          <cell r="U81">
            <v>748763.22580645257</v>
          </cell>
          <cell r="V81">
            <v>762676.29032258166</v>
          </cell>
          <cell r="W81">
            <v>776589.35483871074</v>
          </cell>
          <cell r="X81">
            <v>790502.41935483983</v>
          </cell>
          <cell r="Y81">
            <v>804415.48387096892</v>
          </cell>
          <cell r="Z81">
            <v>818328.54838709801</v>
          </cell>
          <cell r="AA81">
            <v>832241.6129032271</v>
          </cell>
          <cell r="AB81">
            <v>846154.67741935619</v>
          </cell>
          <cell r="AC81">
            <v>860067.74193548528</v>
          </cell>
          <cell r="AD81">
            <v>873980.80645161436</v>
          </cell>
          <cell r="AE81">
            <v>887893.87096774345</v>
          </cell>
          <cell r="AF81">
            <v>901806.93548387254</v>
          </cell>
          <cell r="AG81">
            <v>817633</v>
          </cell>
          <cell r="AH81">
            <v>823007.48387096776</v>
          </cell>
          <cell r="AI81">
            <v>828381.96774193551</v>
          </cell>
          <cell r="AJ81">
            <v>833756.45161290327</v>
          </cell>
          <cell r="AK81">
            <v>839130.93548387103</v>
          </cell>
          <cell r="AL81">
            <v>844505.41935483878</v>
          </cell>
          <cell r="AM81">
            <v>849879.90322580654</v>
          </cell>
          <cell r="AN81">
            <v>855254.3870967743</v>
          </cell>
          <cell r="AO81">
            <v>860628.87096774206</v>
          </cell>
          <cell r="AP81">
            <v>866003.35483870981</v>
          </cell>
          <cell r="AQ81">
            <v>871377.83870967757</v>
          </cell>
          <cell r="AR81">
            <v>876752.32258064533</v>
          </cell>
          <cell r="AS81">
            <v>882126.80645161308</v>
          </cell>
          <cell r="AT81">
            <v>887501.29032258084</v>
          </cell>
          <cell r="AU81">
            <v>892875.7741935486</v>
          </cell>
          <cell r="AV81">
            <v>898250.25806451635</v>
          </cell>
          <cell r="AW81">
            <v>903624.74193548411</v>
          </cell>
          <cell r="AX81">
            <v>908999.22580645187</v>
          </cell>
          <cell r="AY81">
            <v>914373.70967741963</v>
          </cell>
          <cell r="AZ81">
            <v>919748.19354838738</v>
          </cell>
          <cell r="BA81">
            <v>925122.67741935514</v>
          </cell>
          <cell r="BB81">
            <v>930497.1612903229</v>
          </cell>
          <cell r="BC81">
            <v>935871.64516129065</v>
          </cell>
          <cell r="BD81">
            <v>941246.12903225841</v>
          </cell>
          <cell r="BE81">
            <v>946620.61290322617</v>
          </cell>
          <cell r="BF81">
            <v>951995.09677419392</v>
          </cell>
          <cell r="BG81">
            <v>957369.58064516168</v>
          </cell>
          <cell r="BH81">
            <v>962744.06451612944</v>
          </cell>
          <cell r="BI81">
            <v>968118.54838709719</v>
          </cell>
          <cell r="BJ81">
            <v>973493.03225806495</v>
          </cell>
          <cell r="BK81">
            <v>978867.51612903271</v>
          </cell>
          <cell r="BL81">
            <v>984242.00000000047</v>
          </cell>
          <cell r="BM81">
            <v>989616.48387096822</v>
          </cell>
          <cell r="BN81">
            <v>994990.96774193598</v>
          </cell>
          <cell r="BO81">
            <v>1000365.4516129037</v>
          </cell>
          <cell r="BP81">
            <v>1005739.9354838715</v>
          </cell>
          <cell r="BQ81">
            <v>1011114.4193548393</v>
          </cell>
          <cell r="BR81">
            <v>1016488.903225807</v>
          </cell>
          <cell r="BS81">
            <v>1021863.3870967748</v>
          </cell>
          <cell r="BT81">
            <v>1027237.8709677425</v>
          </cell>
          <cell r="BU81">
            <v>1032612.3548387103</v>
          </cell>
          <cell r="BV81">
            <v>1037986.838709678</v>
          </cell>
          <cell r="BW81">
            <v>1043361.3225806458</v>
          </cell>
          <cell r="BX81">
            <v>1048735.8064516135</v>
          </cell>
          <cell r="BY81">
            <v>1054110.2903225813</v>
          </cell>
          <cell r="BZ81">
            <v>1059484.7741935491</v>
          </cell>
          <cell r="CA81">
            <v>1064859.2580645168</v>
          </cell>
          <cell r="CB81">
            <v>1070233.7419354846</v>
          </cell>
          <cell r="CC81">
            <v>1075608.2258064523</v>
          </cell>
          <cell r="CD81">
            <v>1080982.7096774201</v>
          </cell>
        </row>
        <row r="82">
          <cell r="A82" t="str">
            <v>A4</v>
          </cell>
          <cell r="B82">
            <v>484415</v>
          </cell>
          <cell r="C82">
            <v>500522.45161290321</v>
          </cell>
          <cell r="D82">
            <v>516629.90322580643</v>
          </cell>
          <cell r="E82">
            <v>532737.3548387097</v>
          </cell>
          <cell r="F82">
            <v>548844.80645161297</v>
          </cell>
          <cell r="G82">
            <v>564952.25806451624</v>
          </cell>
          <cell r="H82">
            <v>581059.70967741951</v>
          </cell>
          <cell r="I82">
            <v>597167.16129032278</v>
          </cell>
          <cell r="J82">
            <v>613274.61290322605</v>
          </cell>
          <cell r="K82">
            <v>629382.06451612932</v>
          </cell>
          <cell r="L82">
            <v>645489.51612903248</v>
          </cell>
          <cell r="M82">
            <v>661596.96774193575</v>
          </cell>
          <cell r="N82">
            <v>677704.41935483902</v>
          </cell>
          <cell r="O82">
            <v>693811.87096774217</v>
          </cell>
          <cell r="P82">
            <v>709919.32258064533</v>
          </cell>
          <cell r="Q82">
            <v>726026.7741935486</v>
          </cell>
          <cell r="R82">
            <v>742134.22580645187</v>
          </cell>
          <cell r="S82">
            <v>758241.67741935502</v>
          </cell>
          <cell r="T82">
            <v>774349.12903225818</v>
          </cell>
          <cell r="U82">
            <v>790456.58064516145</v>
          </cell>
          <cell r="V82">
            <v>806564.03225806472</v>
          </cell>
          <cell r="W82">
            <v>822671.48387096787</v>
          </cell>
          <cell r="X82">
            <v>838778.93548387103</v>
          </cell>
          <cell r="Y82">
            <v>854886.3870967743</v>
          </cell>
          <cell r="Z82">
            <v>870993.83870967757</v>
          </cell>
          <cell r="AA82">
            <v>887101.29032258072</v>
          </cell>
          <cell r="AB82">
            <v>903208.74193548388</v>
          </cell>
          <cell r="AC82">
            <v>919316.19354838715</v>
          </cell>
          <cell r="AD82">
            <v>935423.64516129042</v>
          </cell>
          <cell r="AE82">
            <v>951531.09677419357</v>
          </cell>
          <cell r="AF82">
            <v>967638.54838709673</v>
          </cell>
          <cell r="AG82">
            <v>983746</v>
          </cell>
          <cell r="AH82">
            <v>991799.72580645164</v>
          </cell>
          <cell r="AI82">
            <v>999853.45161290327</v>
          </cell>
          <cell r="AJ82">
            <v>1007907.1774193549</v>
          </cell>
          <cell r="AK82">
            <v>1015960.9032258065</v>
          </cell>
          <cell r="AL82">
            <v>1024014.6290322582</v>
          </cell>
          <cell r="AM82">
            <v>1032068.3548387098</v>
          </cell>
          <cell r="AN82">
            <v>1040122.0806451614</v>
          </cell>
          <cell r="AO82">
            <v>1048175.8064516131</v>
          </cell>
          <cell r="AP82">
            <v>1056229.5322580647</v>
          </cell>
          <cell r="AQ82">
            <v>1064283.2580645164</v>
          </cell>
          <cell r="AR82">
            <v>1072336.983870968</v>
          </cell>
          <cell r="AS82">
            <v>1080390.7096774196</v>
          </cell>
          <cell r="AT82">
            <v>1088444.4354838713</v>
          </cell>
          <cell r="AU82">
            <v>1096498.1612903229</v>
          </cell>
          <cell r="AV82">
            <v>1104551.8870967745</v>
          </cell>
          <cell r="AW82">
            <v>1112605.6129032262</v>
          </cell>
          <cell r="AX82">
            <v>1120659.3387096778</v>
          </cell>
          <cell r="AY82">
            <v>1128713.0645161294</v>
          </cell>
          <cell r="AZ82">
            <v>1136766.7903225811</v>
          </cell>
          <cell r="BA82">
            <v>1144820.5161290327</v>
          </cell>
          <cell r="BB82">
            <v>1152874.2419354843</v>
          </cell>
          <cell r="BC82">
            <v>1160927.967741936</v>
          </cell>
          <cell r="BD82">
            <v>1168981.6935483876</v>
          </cell>
          <cell r="BE82">
            <v>1177035.4193548393</v>
          </cell>
          <cell r="BF82">
            <v>1185089.1451612909</v>
          </cell>
          <cell r="BG82">
            <v>1193142.8709677425</v>
          </cell>
          <cell r="BH82">
            <v>1201196.5967741942</v>
          </cell>
          <cell r="BI82">
            <v>1209250.3225806458</v>
          </cell>
          <cell r="BJ82">
            <v>1217304.0483870974</v>
          </cell>
          <cell r="BK82">
            <v>1225357.7741935491</v>
          </cell>
          <cell r="BL82">
            <v>1233411.5000000007</v>
          </cell>
          <cell r="BM82">
            <v>1241465.2258064523</v>
          </cell>
          <cell r="BN82">
            <v>1249518.951612904</v>
          </cell>
          <cell r="BO82">
            <v>1257572.6774193556</v>
          </cell>
          <cell r="BP82">
            <v>1265626.4032258072</v>
          </cell>
          <cell r="BQ82">
            <v>1273680.1290322589</v>
          </cell>
          <cell r="BR82">
            <v>1281733.8548387105</v>
          </cell>
          <cell r="BS82">
            <v>1289787.5806451621</v>
          </cell>
          <cell r="BT82">
            <v>1297841.3064516138</v>
          </cell>
          <cell r="BU82">
            <v>1305895.0322580654</v>
          </cell>
          <cell r="BV82">
            <v>1313948.7580645171</v>
          </cell>
          <cell r="BW82">
            <v>1322002.4838709687</v>
          </cell>
          <cell r="BX82">
            <v>1330056.2096774203</v>
          </cell>
          <cell r="BY82">
            <v>1338109.935483872</v>
          </cell>
          <cell r="BZ82">
            <v>1346163.6612903236</v>
          </cell>
          <cell r="CA82">
            <v>1354217.3870967752</v>
          </cell>
          <cell r="CB82">
            <v>1362271.1129032269</v>
          </cell>
          <cell r="CC82">
            <v>1370324.8387096785</v>
          </cell>
          <cell r="CD82">
            <v>1378378.5645161301</v>
          </cell>
        </row>
        <row r="83">
          <cell r="A83" t="str">
            <v>B4</v>
          </cell>
          <cell r="B83">
            <v>484415</v>
          </cell>
          <cell r="C83">
            <v>498328.06451612903</v>
          </cell>
          <cell r="D83">
            <v>512241.12903225806</v>
          </cell>
          <cell r="E83">
            <v>526154.19354838715</v>
          </cell>
          <cell r="F83">
            <v>540067.25806451624</v>
          </cell>
          <cell r="G83">
            <v>553980.32258064533</v>
          </cell>
          <cell r="H83">
            <v>567893.38709677442</v>
          </cell>
          <cell r="I83">
            <v>581806.4516129035</v>
          </cell>
          <cell r="J83">
            <v>595719.51612903259</v>
          </cell>
          <cell r="K83">
            <v>609632.58064516168</v>
          </cell>
          <cell r="L83">
            <v>623545.64516129077</v>
          </cell>
          <cell r="M83">
            <v>637458.70967741986</v>
          </cell>
          <cell r="N83">
            <v>651371.77419354895</v>
          </cell>
          <cell r="O83">
            <v>665284.83870967804</v>
          </cell>
          <cell r="P83">
            <v>679197.90322580712</v>
          </cell>
          <cell r="Q83">
            <v>693110.96774193621</v>
          </cell>
          <cell r="R83">
            <v>707024.0322580653</v>
          </cell>
          <cell r="S83">
            <v>720937.09677419439</v>
          </cell>
          <cell r="T83">
            <v>734850.16129032348</v>
          </cell>
          <cell r="U83">
            <v>748763.22580645257</v>
          </cell>
          <cell r="V83">
            <v>762676.29032258166</v>
          </cell>
          <cell r="W83">
            <v>776589.35483871074</v>
          </cell>
          <cell r="X83">
            <v>790502.41935483983</v>
          </cell>
          <cell r="Y83">
            <v>804415.48387096892</v>
          </cell>
          <cell r="Z83">
            <v>818328.54838709801</v>
          </cell>
          <cell r="AA83">
            <v>832241.6129032271</v>
          </cell>
          <cell r="AB83">
            <v>846154.67741935619</v>
          </cell>
          <cell r="AC83">
            <v>860067.74193548528</v>
          </cell>
          <cell r="AD83">
            <v>873980.80645161436</v>
          </cell>
          <cell r="AE83">
            <v>887893.87096774345</v>
          </cell>
          <cell r="AF83">
            <v>930371.43548387173</v>
          </cell>
          <cell r="AG83">
            <v>972849</v>
          </cell>
          <cell r="AH83">
            <v>980726.96774193551</v>
          </cell>
          <cell r="AI83">
            <v>988604.93548387103</v>
          </cell>
          <cell r="AJ83">
            <v>996482.90322580654</v>
          </cell>
          <cell r="AK83">
            <v>1004360.8709677421</v>
          </cell>
          <cell r="AL83">
            <v>1012238.8387096776</v>
          </cell>
          <cell r="AM83">
            <v>1020116.8064516131</v>
          </cell>
          <cell r="AN83">
            <v>1027994.7741935486</v>
          </cell>
          <cell r="AO83">
            <v>1035872.7419354841</v>
          </cell>
          <cell r="AP83">
            <v>1043750.7096774196</v>
          </cell>
          <cell r="AQ83">
            <v>1051628.6774193551</v>
          </cell>
          <cell r="AR83">
            <v>1059506.6451612907</v>
          </cell>
          <cell r="AS83">
            <v>1067384.6129032262</v>
          </cell>
          <cell r="AT83">
            <v>1075262.5806451617</v>
          </cell>
          <cell r="AU83">
            <v>1083140.5483870972</v>
          </cell>
          <cell r="AV83">
            <v>1091018.5161290327</v>
          </cell>
          <cell r="AW83">
            <v>1098896.4838709682</v>
          </cell>
          <cell r="AX83">
            <v>1106774.4516129037</v>
          </cell>
          <cell r="AY83">
            <v>1114652.4193548393</v>
          </cell>
          <cell r="AZ83">
            <v>1122530.3870967748</v>
          </cell>
          <cell r="BA83">
            <v>1130408.3548387103</v>
          </cell>
          <cell r="BB83">
            <v>1138286.3225806458</v>
          </cell>
          <cell r="BC83">
            <v>1146164.2903225813</v>
          </cell>
          <cell r="BD83">
            <v>1154042.2580645168</v>
          </cell>
          <cell r="BE83">
            <v>1161920.2258064523</v>
          </cell>
          <cell r="BF83">
            <v>1169798.1935483878</v>
          </cell>
          <cell r="BG83">
            <v>1177676.1612903234</v>
          </cell>
          <cell r="BH83">
            <v>1185554.1290322589</v>
          </cell>
          <cell r="BI83">
            <v>1193432.0967741944</v>
          </cell>
          <cell r="BJ83">
            <v>1201310.0645161299</v>
          </cell>
          <cell r="BK83">
            <v>1209188.0322580654</v>
          </cell>
          <cell r="BL83">
            <v>1217066.0000000009</v>
          </cell>
          <cell r="BM83">
            <v>1224943.9677419364</v>
          </cell>
          <cell r="BN83">
            <v>1232821.935483872</v>
          </cell>
          <cell r="BO83">
            <v>1240699.9032258075</v>
          </cell>
          <cell r="BP83">
            <v>1248577.870967743</v>
          </cell>
          <cell r="BQ83">
            <v>1256455.8387096785</v>
          </cell>
          <cell r="BR83">
            <v>1264333.806451614</v>
          </cell>
          <cell r="BS83">
            <v>1272211.7741935495</v>
          </cell>
          <cell r="BT83">
            <v>1280089.741935485</v>
          </cell>
          <cell r="BU83">
            <v>1287967.7096774206</v>
          </cell>
          <cell r="BV83">
            <v>1295845.6774193561</v>
          </cell>
          <cell r="BW83">
            <v>1303723.6451612916</v>
          </cell>
          <cell r="BX83">
            <v>1311601.6129032271</v>
          </cell>
          <cell r="BY83">
            <v>1319479.5806451626</v>
          </cell>
          <cell r="BZ83">
            <v>1327357.5483870981</v>
          </cell>
          <cell r="CA83">
            <v>1335235.5161290336</v>
          </cell>
          <cell r="CB83">
            <v>1343113.4838709692</v>
          </cell>
          <cell r="CC83">
            <v>1350991.4516129047</v>
          </cell>
          <cell r="CD83">
            <v>1358869.4193548402</v>
          </cell>
        </row>
        <row r="84">
          <cell r="A84" t="str">
            <v>E4</v>
          </cell>
          <cell r="B84">
            <v>484415</v>
          </cell>
          <cell r="C84">
            <v>498328.06451612903</v>
          </cell>
          <cell r="D84">
            <v>512241.12903225806</v>
          </cell>
          <cell r="E84">
            <v>526154.19354838715</v>
          </cell>
          <cell r="F84">
            <v>540067.25806451624</v>
          </cell>
          <cell r="G84">
            <v>553980.32258064533</v>
          </cell>
          <cell r="H84">
            <v>567893.38709677442</v>
          </cell>
          <cell r="I84">
            <v>581806.4516129035</v>
          </cell>
          <cell r="J84">
            <v>595719.51612903259</v>
          </cell>
          <cell r="K84">
            <v>609632.58064516168</v>
          </cell>
          <cell r="L84">
            <v>623545.64516129077</v>
          </cell>
          <cell r="M84">
            <v>637458.70967741986</v>
          </cell>
          <cell r="N84">
            <v>651371.77419354895</v>
          </cell>
          <cell r="O84">
            <v>665284.83870967804</v>
          </cell>
          <cell r="P84">
            <v>679197.90322580712</v>
          </cell>
          <cell r="Q84">
            <v>693110.96774193621</v>
          </cell>
          <cell r="R84">
            <v>707024.0322580653</v>
          </cell>
          <cell r="S84">
            <v>720937.09677419439</v>
          </cell>
          <cell r="T84">
            <v>734850.16129032348</v>
          </cell>
          <cell r="U84">
            <v>748763.22580645257</v>
          </cell>
          <cell r="V84">
            <v>762676.29032258166</v>
          </cell>
          <cell r="W84">
            <v>776589.35483871074</v>
          </cell>
          <cell r="X84">
            <v>790502.41935483983</v>
          </cell>
          <cell r="Y84">
            <v>804415.48387096892</v>
          </cell>
          <cell r="Z84">
            <v>818328.54838709801</v>
          </cell>
          <cell r="AA84">
            <v>832241.6129032271</v>
          </cell>
          <cell r="AB84">
            <v>846154.67741935619</v>
          </cell>
          <cell r="AC84">
            <v>860067.74193548528</v>
          </cell>
          <cell r="AD84">
            <v>873980.80645161436</v>
          </cell>
          <cell r="AE84">
            <v>887893.87096774345</v>
          </cell>
          <cell r="AF84">
            <v>929435.93548387173</v>
          </cell>
          <cell r="AG84">
            <v>970978</v>
          </cell>
          <cell r="AH84">
            <v>978825.79032258061</v>
          </cell>
          <cell r="AI84">
            <v>986673.58064516122</v>
          </cell>
          <cell r="AJ84">
            <v>994521.37096774182</v>
          </cell>
          <cell r="AK84">
            <v>1002369.1612903224</v>
          </cell>
          <cell r="AL84">
            <v>1010216.951612903</v>
          </cell>
          <cell r="AM84">
            <v>1018064.7419354836</v>
          </cell>
          <cell r="AN84">
            <v>1025912.5322580643</v>
          </cell>
          <cell r="AO84">
            <v>1033760.3225806449</v>
          </cell>
          <cell r="AP84">
            <v>1041608.1129032255</v>
          </cell>
          <cell r="AQ84">
            <v>1049455.9032258061</v>
          </cell>
          <cell r="AR84">
            <v>1057303.6935483867</v>
          </cell>
          <cell r="AS84">
            <v>1065151.4838709673</v>
          </cell>
          <cell r="AT84">
            <v>1072999.2741935479</v>
          </cell>
          <cell r="AU84">
            <v>1080847.0645161285</v>
          </cell>
          <cell r="AV84">
            <v>1088694.8548387091</v>
          </cell>
          <cell r="AW84">
            <v>1096542.6451612897</v>
          </cell>
          <cell r="AX84">
            <v>1104390.4354838703</v>
          </cell>
          <cell r="AY84">
            <v>1112238.2258064509</v>
          </cell>
          <cell r="AZ84">
            <v>1120086.0161290315</v>
          </cell>
          <cell r="BA84">
            <v>1127933.8064516122</v>
          </cell>
          <cell r="BB84">
            <v>1135781.5967741928</v>
          </cell>
          <cell r="BC84">
            <v>1143629.3870967734</v>
          </cell>
          <cell r="BD84">
            <v>1151477.177419354</v>
          </cell>
          <cell r="BE84">
            <v>1159324.9677419346</v>
          </cell>
          <cell r="BF84">
            <v>1167172.7580645152</v>
          </cell>
          <cell r="BG84">
            <v>1175020.5483870958</v>
          </cell>
          <cell r="BH84">
            <v>1182868.3387096764</v>
          </cell>
          <cell r="BI84">
            <v>1190716.129032257</v>
          </cell>
          <cell r="BJ84">
            <v>1198563.9193548376</v>
          </cell>
          <cell r="BK84">
            <v>1206411.7096774182</v>
          </cell>
          <cell r="BL84">
            <v>1214259.4999999988</v>
          </cell>
          <cell r="BM84">
            <v>1222107.2903225794</v>
          </cell>
          <cell r="BN84">
            <v>1229955.0806451601</v>
          </cell>
          <cell r="BO84">
            <v>1237802.8709677407</v>
          </cell>
          <cell r="BP84">
            <v>1245650.6612903213</v>
          </cell>
          <cell r="BQ84">
            <v>1253498.4516129019</v>
          </cell>
          <cell r="BR84">
            <v>1261346.2419354825</v>
          </cell>
          <cell r="BS84">
            <v>1269194.0322580631</v>
          </cell>
          <cell r="BT84">
            <v>1277041.8225806437</v>
          </cell>
          <cell r="BU84">
            <v>1284889.6129032243</v>
          </cell>
          <cell r="BV84">
            <v>1292737.4032258049</v>
          </cell>
          <cell r="BW84">
            <v>1300585.1935483855</v>
          </cell>
          <cell r="BX84">
            <v>1308432.9838709661</v>
          </cell>
          <cell r="BY84">
            <v>1316280.7741935467</v>
          </cell>
          <cell r="BZ84">
            <v>1324128.5645161273</v>
          </cell>
          <cell r="CA84">
            <v>1331976.3548387079</v>
          </cell>
          <cell r="CB84">
            <v>1339824.1451612886</v>
          </cell>
          <cell r="CC84">
            <v>1347671.9354838692</v>
          </cell>
          <cell r="CD84">
            <v>1355519.7258064498</v>
          </cell>
        </row>
        <row r="133">
          <cell r="A133" t="str">
            <v>A1</v>
          </cell>
          <cell r="B133">
            <v>43.043984954796173</v>
          </cell>
        </row>
        <row r="134">
          <cell r="A134" t="str">
            <v>B1</v>
          </cell>
          <cell r="B134">
            <v>42.232140527429273</v>
          </cell>
        </row>
        <row r="135">
          <cell r="A135" t="str">
            <v>C1</v>
          </cell>
          <cell r="B135">
            <v>42.303425178606339</v>
          </cell>
        </row>
        <row r="136">
          <cell r="A136" t="str">
            <v>D1</v>
          </cell>
          <cell r="B136">
            <v>43.094386923159803</v>
          </cell>
        </row>
        <row r="137">
          <cell r="A137" t="str">
            <v>E1</v>
          </cell>
          <cell r="B137">
            <v>42.688156049519634</v>
          </cell>
        </row>
        <row r="138">
          <cell r="A138" t="str">
            <v>F1</v>
          </cell>
          <cell r="B138">
            <v>42.085915739637869</v>
          </cell>
        </row>
        <row r="139">
          <cell r="A139" t="str">
            <v>A2</v>
          </cell>
          <cell r="B139">
            <v>43.043984954796173</v>
          </cell>
        </row>
        <row r="140">
          <cell r="A140" t="str">
            <v>B2</v>
          </cell>
          <cell r="B140">
            <v>42.232140527429273</v>
          </cell>
        </row>
        <row r="141">
          <cell r="A141" t="str">
            <v>C2</v>
          </cell>
          <cell r="B141">
            <v>42.303425178606339</v>
          </cell>
        </row>
        <row r="142">
          <cell r="A142" t="str">
            <v>D2</v>
          </cell>
          <cell r="B142">
            <v>43.094386923159803</v>
          </cell>
        </row>
        <row r="143">
          <cell r="A143" t="str">
            <v>E2</v>
          </cell>
          <cell r="B143">
            <v>42.688156049519634</v>
          </cell>
        </row>
        <row r="144">
          <cell r="A144" t="str">
            <v>B3</v>
          </cell>
          <cell r="B144">
            <v>42.232140527429273</v>
          </cell>
        </row>
        <row r="145">
          <cell r="A145" t="str">
            <v>F3</v>
          </cell>
          <cell r="B145">
            <v>42.085915739637869</v>
          </cell>
        </row>
        <row r="146">
          <cell r="A146" t="str">
            <v>A4</v>
          </cell>
          <cell r="B146">
            <v>43.043984954796173</v>
          </cell>
        </row>
        <row r="147">
          <cell r="A147" t="str">
            <v>B4</v>
          </cell>
          <cell r="B147">
            <v>42.232140527429273</v>
          </cell>
        </row>
        <row r="148">
          <cell r="A148" t="str">
            <v>E4</v>
          </cell>
          <cell r="B148">
            <v>42.688156049519634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row r="12">
          <cell r="B12">
            <v>2.4855999999999998</v>
          </cell>
          <cell r="C12">
            <v>1</v>
          </cell>
          <cell r="D12">
            <v>1</v>
          </cell>
          <cell r="E12">
            <v>1</v>
          </cell>
          <cell r="F12">
            <v>1</v>
          </cell>
          <cell r="G12">
            <v>1</v>
          </cell>
          <cell r="H12">
            <v>1</v>
          </cell>
        </row>
        <row r="13">
          <cell r="B13">
            <v>3</v>
          </cell>
          <cell r="C13">
            <v>1.7148787907949794</v>
          </cell>
          <cell r="D13">
            <v>1.6850102301255232</v>
          </cell>
          <cell r="E13">
            <v>1.1051252227228838</v>
          </cell>
          <cell r="F13">
            <v>1</v>
          </cell>
          <cell r="G13">
            <v>1</v>
          </cell>
          <cell r="H13">
            <v>1</v>
          </cell>
        </row>
        <row r="14">
          <cell r="B14">
            <v>4</v>
          </cell>
          <cell r="C14">
            <v>3.1046120543933062</v>
          </cell>
          <cell r="D14">
            <v>3.0166786401673642</v>
          </cell>
          <cell r="E14">
            <v>1.3094899636305117</v>
          </cell>
          <cell r="F14">
            <v>1</v>
          </cell>
          <cell r="G14">
            <v>1</v>
          </cell>
          <cell r="H14">
            <v>1</v>
          </cell>
        </row>
        <row r="15">
          <cell r="B15">
            <v>4.9711999999999996</v>
          </cell>
          <cell r="C15">
            <v>4.4543210000000002</v>
          </cell>
          <cell r="D15">
            <v>4.3099949999999998</v>
          </cell>
          <cell r="E15">
            <v>1.5079689999999999</v>
          </cell>
          <cell r="F15">
            <v>1</v>
          </cell>
          <cell r="G15">
            <v>1</v>
          </cell>
          <cell r="H15">
            <v>1</v>
          </cell>
        </row>
        <row r="16">
          <cell r="B16">
            <v>6</v>
          </cell>
          <cell r="C16">
            <v>3.6349279089153521</v>
          </cell>
          <cell r="D16">
            <v>3.5248371577083999</v>
          </cell>
          <cell r="E16">
            <v>1.3874744837463791</v>
          </cell>
          <cell r="F16">
            <v>1</v>
          </cell>
          <cell r="G16">
            <v>1</v>
          </cell>
          <cell r="H16">
            <v>1</v>
          </cell>
        </row>
        <row r="17">
          <cell r="B17">
            <v>7.4567999999999994</v>
          </cell>
          <cell r="C17">
            <v>2.4746519999999999</v>
          </cell>
          <cell r="D17">
            <v>2.4130389999999999</v>
          </cell>
          <cell r="E17">
            <v>1.216852</v>
          </cell>
          <cell r="F17">
            <v>1</v>
          </cell>
          <cell r="G17">
            <v>1</v>
          </cell>
          <cell r="H17">
            <v>1</v>
          </cell>
        </row>
        <row r="18">
          <cell r="B18">
            <v>8</v>
          </cell>
          <cell r="C18">
            <v>2.3304404422272285</v>
          </cell>
          <cell r="D18">
            <v>2.2748527750241387</v>
          </cell>
          <cell r="E18">
            <v>1.1956452149983907</v>
          </cell>
          <cell r="F18">
            <v>1</v>
          </cell>
          <cell r="G18">
            <v>1</v>
          </cell>
          <cell r="H18">
            <v>1</v>
          </cell>
        </row>
        <row r="19">
          <cell r="B19">
            <v>9</v>
          </cell>
          <cell r="C19">
            <v>2.0649552475056323</v>
          </cell>
          <cell r="D19">
            <v>2.020459871902156</v>
          </cell>
          <cell r="E19">
            <v>1.1566047418731895</v>
          </cell>
          <cell r="F19">
            <v>1</v>
          </cell>
          <cell r="G19">
            <v>1</v>
          </cell>
          <cell r="H19">
            <v>1</v>
          </cell>
        </row>
        <row r="20">
          <cell r="B20">
            <v>9.9423999999999992</v>
          </cell>
          <cell r="C20">
            <v>1.814762</v>
          </cell>
          <cell r="D20">
            <v>1.7807200000000001</v>
          </cell>
          <cell r="E20">
            <v>1.1198129999999999</v>
          </cell>
          <cell r="F20">
            <v>1</v>
          </cell>
          <cell r="G20">
            <v>1</v>
          </cell>
          <cell r="H20">
            <v>1</v>
          </cell>
        </row>
        <row r="21">
          <cell r="B21">
            <v>11</v>
          </cell>
          <cell r="C21">
            <v>1.6743734290312198</v>
          </cell>
          <cell r="D21">
            <v>1.6461972455745091</v>
          </cell>
          <cell r="E21">
            <v>1.0991686105568073</v>
          </cell>
          <cell r="F21">
            <v>1</v>
          </cell>
          <cell r="G21">
            <v>1</v>
          </cell>
          <cell r="H21">
            <v>1</v>
          </cell>
        </row>
        <row r="22">
          <cell r="B22">
            <v>12.427999999999999</v>
          </cell>
          <cell r="C22">
            <v>1.4848170000000001</v>
          </cell>
          <cell r="D22">
            <v>1.464561</v>
          </cell>
          <cell r="E22">
            <v>1.071294</v>
          </cell>
          <cell r="F22">
            <v>1</v>
          </cell>
          <cell r="G22">
            <v>1</v>
          </cell>
          <cell r="H22">
            <v>1</v>
          </cell>
        </row>
        <row r="23">
          <cell r="B23">
            <v>13</v>
          </cell>
          <cell r="C23">
            <v>1.4392597405857741</v>
          </cell>
          <cell r="D23">
            <v>1.4209071087866108</v>
          </cell>
          <cell r="E23">
            <v>1.0645945857740586</v>
          </cell>
          <cell r="F23">
            <v>1</v>
          </cell>
          <cell r="G23">
            <v>1</v>
          </cell>
          <cell r="H23">
            <v>1</v>
          </cell>
        </row>
        <row r="24">
          <cell r="B24">
            <v>14</v>
          </cell>
          <cell r="C24">
            <v>1.3596141821692951</v>
          </cell>
          <cell r="D24">
            <v>1.3445891171548117</v>
          </cell>
          <cell r="E24">
            <v>1.0528823231412938</v>
          </cell>
          <cell r="F24">
            <v>1</v>
          </cell>
          <cell r="G24">
            <v>1</v>
          </cell>
          <cell r="H24">
            <v>1</v>
          </cell>
        </row>
        <row r="25">
          <cell r="B25">
            <v>14.913599999999999</v>
          </cell>
          <cell r="C25">
            <v>1.28685</v>
          </cell>
          <cell r="D25">
            <v>1.2748649999999999</v>
          </cell>
          <cell r="E25">
            <v>1.0421819999999999</v>
          </cell>
          <cell r="F25">
            <v>1</v>
          </cell>
          <cell r="G25">
            <v>1</v>
          </cell>
          <cell r="H25">
            <v>1</v>
          </cell>
        </row>
        <row r="26">
          <cell r="B26">
            <v>16</v>
          </cell>
          <cell r="C26">
            <v>1.2291653768908914</v>
          </cell>
          <cell r="D26">
            <v>1.2195904225941423</v>
          </cell>
          <cell r="E26">
            <v>1.0336991985838428</v>
          </cell>
          <cell r="F26">
            <v>1</v>
          </cell>
          <cell r="G26">
            <v>1</v>
          </cell>
          <cell r="H26">
            <v>1</v>
          </cell>
        </row>
        <row r="27">
          <cell r="B27">
            <v>17.3992</v>
          </cell>
          <cell r="C27">
            <v>1.1548719999999999</v>
          </cell>
          <cell r="D27">
            <v>1.148401</v>
          </cell>
          <cell r="E27">
            <v>1.0227740000000001</v>
          </cell>
          <cell r="F27">
            <v>1</v>
          </cell>
          <cell r="G27">
            <v>1</v>
          </cell>
          <cell r="H27">
            <v>1</v>
          </cell>
        </row>
        <row r="28">
          <cell r="B28">
            <v>18</v>
          </cell>
          <cell r="C28">
            <v>1.1320857850016093</v>
          </cell>
          <cell r="D28">
            <v>1.1265668896041197</v>
          </cell>
          <cell r="E28">
            <v>1.0194233846153846</v>
          </cell>
          <cell r="F28">
            <v>1</v>
          </cell>
          <cell r="G28">
            <v>1</v>
          </cell>
          <cell r="H28">
            <v>1</v>
          </cell>
        </row>
        <row r="29">
          <cell r="B29">
            <v>19</v>
          </cell>
          <cell r="C29">
            <v>1.0941593286128097</v>
          </cell>
          <cell r="D29">
            <v>1.090225161248793</v>
          </cell>
          <cell r="E29">
            <v>1.0138464615384615</v>
          </cell>
          <cell r="F29">
            <v>1</v>
          </cell>
          <cell r="G29">
            <v>1</v>
          </cell>
          <cell r="H29">
            <v>1</v>
          </cell>
        </row>
        <row r="30">
          <cell r="B30">
            <v>19.884799999999998</v>
          </cell>
          <cell r="C30">
            <v>1.060602</v>
          </cell>
          <cell r="D30">
            <v>1.0580700000000001</v>
          </cell>
          <cell r="E30">
            <v>1.008912</v>
          </cell>
          <cell r="F30">
            <v>1</v>
          </cell>
          <cell r="G30">
            <v>1</v>
          </cell>
          <cell r="H30">
            <v>1</v>
          </cell>
        </row>
        <row r="31">
          <cell r="B31">
            <v>21</v>
          </cell>
          <cell r="C31">
            <v>1.0221797347924042</v>
          </cell>
          <cell r="D31">
            <v>1.019662989378822</v>
          </cell>
          <cell r="E31">
            <v>1.0070280585774058</v>
          </cell>
          <cell r="F31">
            <v>1</v>
          </cell>
          <cell r="G31">
            <v>1</v>
          </cell>
          <cell r="H31">
            <v>1</v>
          </cell>
        </row>
        <row r="32">
          <cell r="B32">
            <v>22.370399999999997</v>
          </cell>
          <cell r="C32">
            <v>0.97496499999999997</v>
          </cell>
          <cell r="D32">
            <v>0.97246699999999997</v>
          </cell>
          <cell r="E32">
            <v>1.004713</v>
          </cell>
          <cell r="F32">
            <v>1</v>
          </cell>
          <cell r="G32">
            <v>1</v>
          </cell>
          <cell r="H32">
            <v>1</v>
          </cell>
        </row>
        <row r="33">
          <cell r="B33">
            <v>23</v>
          </cell>
          <cell r="C33">
            <v>0.94865103315094934</v>
          </cell>
          <cell r="D33">
            <v>0.93975039427100082</v>
          </cell>
          <cell r="E33">
            <v>1.0085114718377857</v>
          </cell>
          <cell r="F33">
            <v>1</v>
          </cell>
          <cell r="G33">
            <v>1</v>
          </cell>
          <cell r="H33">
            <v>1</v>
          </cell>
        </row>
        <row r="34">
          <cell r="B34">
            <v>24</v>
          </cell>
          <cell r="C34">
            <v>0.9068562954618602</v>
          </cell>
          <cell r="D34">
            <v>0.8877862809784357</v>
          </cell>
          <cell r="E34">
            <v>1.0145446227872545</v>
          </cell>
          <cell r="F34">
            <v>1</v>
          </cell>
          <cell r="G34">
            <v>1</v>
          </cell>
          <cell r="H34">
            <v>1</v>
          </cell>
        </row>
        <row r="35">
          <cell r="B35">
            <v>24.855999999999998</v>
          </cell>
          <cell r="C35">
            <v>0.87107999999999997</v>
          </cell>
          <cell r="D35">
            <v>0.84330499999999997</v>
          </cell>
          <cell r="E35">
            <v>1.019709</v>
          </cell>
          <cell r="F35">
            <v>1</v>
          </cell>
          <cell r="G35">
            <v>1</v>
          </cell>
          <cell r="H35">
            <v>1</v>
          </cell>
        </row>
        <row r="36">
          <cell r="B36">
            <v>26</v>
          </cell>
          <cell r="C36">
            <v>0.83282945606694558</v>
          </cell>
          <cell r="D36">
            <v>0.79574725941422586</v>
          </cell>
          <cell r="E36">
            <v>1.0252301715481171</v>
          </cell>
          <cell r="F36">
            <v>1</v>
          </cell>
          <cell r="G36">
            <v>1</v>
          </cell>
          <cell r="H36">
            <v>1</v>
          </cell>
        </row>
        <row r="37">
          <cell r="B37">
            <v>27.3416</v>
          </cell>
          <cell r="C37">
            <v>0.78797200000000001</v>
          </cell>
          <cell r="D37">
            <v>0.73997500000000005</v>
          </cell>
          <cell r="E37">
            <v>1.0317050000000001</v>
          </cell>
          <cell r="F37">
            <v>1</v>
          </cell>
          <cell r="G37">
            <v>1</v>
          </cell>
          <cell r="H37">
            <v>1</v>
          </cell>
        </row>
        <row r="38">
          <cell r="B38">
            <v>28</v>
          </cell>
          <cell r="C38">
            <v>0.76996029932410681</v>
          </cell>
          <cell r="D38">
            <v>0.71758076472481491</v>
          </cell>
          <cell r="E38">
            <v>1.0343051184422274</v>
          </cell>
          <cell r="F38">
            <v>1</v>
          </cell>
          <cell r="G38">
            <v>1</v>
          </cell>
          <cell r="H38">
            <v>1</v>
          </cell>
        </row>
        <row r="39">
          <cell r="B39">
            <v>29</v>
          </cell>
          <cell r="C39">
            <v>0.74260352429996779</v>
          </cell>
          <cell r="D39">
            <v>0.6835676491792726</v>
          </cell>
          <cell r="E39">
            <v>1.0382542655294498</v>
          </cell>
          <cell r="F39">
            <v>1</v>
          </cell>
          <cell r="G39">
            <v>1</v>
          </cell>
          <cell r="H39">
            <v>1</v>
          </cell>
        </row>
        <row r="40">
          <cell r="B40">
            <v>29.827199999999998</v>
          </cell>
          <cell r="C40">
            <v>0.719974</v>
          </cell>
          <cell r="D40">
            <v>0.65543200000000001</v>
          </cell>
          <cell r="E40">
            <v>1.0415209999999999</v>
          </cell>
          <cell r="F40">
            <v>1</v>
          </cell>
          <cell r="G40">
            <v>1</v>
          </cell>
          <cell r="H40">
            <v>1</v>
          </cell>
        </row>
        <row r="41">
          <cell r="B41">
            <v>31</v>
          </cell>
          <cell r="C41">
            <v>0.69323778371419364</v>
          </cell>
          <cell r="D41">
            <v>0.6221900843257161</v>
          </cell>
          <cell r="E41">
            <v>1.045380161248793</v>
          </cell>
          <cell r="F41">
            <v>1</v>
          </cell>
          <cell r="G41">
            <v>1</v>
          </cell>
          <cell r="H41">
            <v>1</v>
          </cell>
        </row>
        <row r="42">
          <cell r="B42">
            <v>32.312799999999996</v>
          </cell>
          <cell r="C42">
            <v>0.66330999999999996</v>
          </cell>
          <cell r="D42">
            <v>0.58498000000000006</v>
          </cell>
          <cell r="E42">
            <v>1.0497000000000001</v>
          </cell>
          <cell r="F42">
            <v>1</v>
          </cell>
          <cell r="G42">
            <v>1</v>
          </cell>
          <cell r="H42">
            <v>1</v>
          </cell>
        </row>
        <row r="43">
          <cell r="B43">
            <v>33</v>
          </cell>
          <cell r="C43">
            <v>0.65005397392983577</v>
          </cell>
          <cell r="D43">
            <v>0.56849864596073385</v>
          </cell>
          <cell r="E43">
            <v>1.0516134660444159</v>
          </cell>
          <cell r="F43">
            <v>1</v>
          </cell>
          <cell r="G43">
            <v>1</v>
          </cell>
          <cell r="H43">
            <v>1</v>
          </cell>
        </row>
        <row r="44">
          <cell r="B44">
            <v>34</v>
          </cell>
          <cell r="C44">
            <v>0.63076406404892171</v>
          </cell>
          <cell r="D44">
            <v>0.54451530189893793</v>
          </cell>
          <cell r="E44">
            <v>1.0543979044093981</v>
          </cell>
          <cell r="F44">
            <v>1</v>
          </cell>
          <cell r="G44">
            <v>1</v>
          </cell>
          <cell r="H44">
            <v>1</v>
          </cell>
        </row>
        <row r="45">
          <cell r="B45">
            <v>34.798400000000001</v>
          </cell>
          <cell r="C45">
            <v>0.61536299999999999</v>
          </cell>
          <cell r="D45">
            <v>0.52536700000000003</v>
          </cell>
          <cell r="E45">
            <v>1.056621</v>
          </cell>
          <cell r="F45">
            <v>1</v>
          </cell>
          <cell r="G45">
            <v>1</v>
          </cell>
          <cell r="H45">
            <v>1</v>
          </cell>
        </row>
        <row r="46">
          <cell r="B46">
            <v>36</v>
          </cell>
          <cell r="C46">
            <v>0.59549521886063728</v>
          </cell>
          <cell r="D46">
            <v>0.50066545703250731</v>
          </cell>
          <cell r="E46">
            <v>1.0594891577084005</v>
          </cell>
          <cell r="F46">
            <v>1</v>
          </cell>
          <cell r="G46">
            <v>1</v>
          </cell>
          <cell r="H46">
            <v>1</v>
          </cell>
        </row>
        <row r="47">
          <cell r="B47">
            <v>37.283999999999999</v>
          </cell>
          <cell r="C47">
            <v>0.57426500000000003</v>
          </cell>
          <cell r="D47">
            <v>0.47427000000000002</v>
          </cell>
          <cell r="E47">
            <v>1.062554</v>
          </cell>
          <cell r="F47">
            <v>1</v>
          </cell>
          <cell r="G47">
            <v>1</v>
          </cell>
          <cell r="H47">
            <v>1</v>
          </cell>
        </row>
        <row r="48">
          <cell r="B48">
            <v>38</v>
          </cell>
          <cell r="C48">
            <v>0.56400490666237524</v>
          </cell>
          <cell r="D48">
            <v>0.46151358545220467</v>
          </cell>
          <cell r="E48">
            <v>1.0640349124557451</v>
          </cell>
          <cell r="F48">
            <v>1</v>
          </cell>
          <cell r="G48">
            <v>1</v>
          </cell>
          <cell r="H48">
            <v>1</v>
          </cell>
        </row>
        <row r="49">
          <cell r="B49">
            <v>39</v>
          </cell>
          <cell r="C49">
            <v>0.54967516736401667</v>
          </cell>
          <cell r="D49">
            <v>0.44369736401673632</v>
          </cell>
          <cell r="E49">
            <v>1.0661032259414227</v>
          </cell>
          <cell r="F49">
            <v>1</v>
          </cell>
          <cell r="G49">
            <v>1</v>
          </cell>
          <cell r="H49">
            <v>1</v>
          </cell>
        </row>
        <row r="50">
          <cell r="B50">
            <v>39.769599999999997</v>
          </cell>
          <cell r="C50">
            <v>0.53864699999999999</v>
          </cell>
          <cell r="D50">
            <v>0.42998599999999998</v>
          </cell>
          <cell r="E50">
            <v>1.0676950000000001</v>
          </cell>
          <cell r="F50">
            <v>1</v>
          </cell>
          <cell r="G50">
            <v>1</v>
          </cell>
          <cell r="H50">
            <v>1</v>
          </cell>
        </row>
        <row r="51">
          <cell r="B51">
            <v>41</v>
          </cell>
          <cell r="C51">
            <v>0.52321997392983577</v>
          </cell>
          <cell r="D51">
            <v>0.41080480849694234</v>
          </cell>
          <cell r="E51">
            <v>1.069922055680721</v>
          </cell>
          <cell r="F51">
            <v>1</v>
          </cell>
          <cell r="G51">
            <v>1</v>
          </cell>
          <cell r="H51">
            <v>1</v>
          </cell>
        </row>
        <row r="52">
          <cell r="B52">
            <v>42.255199999999995</v>
          </cell>
          <cell r="C52">
            <v>0.50748199999999999</v>
          </cell>
          <cell r="D52">
            <v>0.391237</v>
          </cell>
          <cell r="E52">
            <v>1.0721940000000001</v>
          </cell>
          <cell r="F52">
            <v>1</v>
          </cell>
          <cell r="G52">
            <v>1</v>
          </cell>
          <cell r="H52">
            <v>1</v>
          </cell>
        </row>
        <row r="53">
          <cell r="B53">
            <v>43</v>
          </cell>
          <cell r="C53">
            <v>0.49924203572578041</v>
          </cell>
          <cell r="D53">
            <v>0.38099210460251037</v>
          </cell>
          <cell r="E53">
            <v>1.0733832948181525</v>
          </cell>
          <cell r="F53">
            <v>1</v>
          </cell>
          <cell r="G53">
            <v>1</v>
          </cell>
          <cell r="H53">
            <v>1</v>
          </cell>
        </row>
        <row r="54">
          <cell r="B54">
            <v>44</v>
          </cell>
          <cell r="C54">
            <v>0.48817871097521714</v>
          </cell>
          <cell r="D54">
            <v>0.36723687447698738</v>
          </cell>
          <cell r="E54">
            <v>1.0749800923720632</v>
          </cell>
          <cell r="F54">
            <v>1</v>
          </cell>
          <cell r="G54">
            <v>1</v>
          </cell>
          <cell r="H54">
            <v>1</v>
          </cell>
        </row>
        <row r="55">
          <cell r="B55">
            <v>44.740799999999993</v>
          </cell>
          <cell r="C55">
            <v>0.47998299999999999</v>
          </cell>
          <cell r="D55">
            <v>0.357047</v>
          </cell>
          <cell r="E55">
            <v>1.076163</v>
          </cell>
          <cell r="F55">
            <v>1</v>
          </cell>
          <cell r="G55">
            <v>1</v>
          </cell>
          <cell r="H55">
            <v>1</v>
          </cell>
        </row>
        <row r="56">
          <cell r="B56">
            <v>46</v>
          </cell>
          <cell r="C56">
            <v>0.46759971837785641</v>
          </cell>
          <cell r="D56">
            <v>0.3416509800450595</v>
          </cell>
          <cell r="E56">
            <v>1.0779507843579015</v>
          </cell>
          <cell r="F56">
            <v>1</v>
          </cell>
          <cell r="G56">
            <v>1</v>
          </cell>
          <cell r="H56">
            <v>1</v>
          </cell>
        </row>
        <row r="57">
          <cell r="B57">
            <v>47.226399999999998</v>
          </cell>
          <cell r="C57">
            <v>0.45553900000000003</v>
          </cell>
          <cell r="D57">
            <v>0.326656</v>
          </cell>
          <cell r="E57">
            <v>1.0796920000000001</v>
          </cell>
          <cell r="F57">
            <v>1</v>
          </cell>
          <cell r="G57">
            <v>1</v>
          </cell>
          <cell r="H57">
            <v>1</v>
          </cell>
        </row>
        <row r="58">
          <cell r="B58">
            <v>47.847799999999999</v>
          </cell>
          <cell r="C58">
            <v>0.43366900000000003</v>
          </cell>
          <cell r="D58">
            <v>0.29946400000000001</v>
          </cell>
          <cell r="E58">
            <v>1.082849</v>
          </cell>
          <cell r="F58">
            <v>1</v>
          </cell>
          <cell r="G58">
            <v>1</v>
          </cell>
          <cell r="H58">
            <v>1</v>
          </cell>
        </row>
        <row r="59">
          <cell r="B59">
            <v>49</v>
          </cell>
          <cell r="C59">
            <v>0.43113430833601546</v>
          </cell>
          <cell r="D59">
            <v>0.29631247773844005</v>
          </cell>
          <cell r="E59">
            <v>1.0832142774380431</v>
          </cell>
          <cell r="F59">
            <v>1</v>
          </cell>
          <cell r="G59">
            <v>1</v>
          </cell>
          <cell r="H59">
            <v>1</v>
          </cell>
        </row>
        <row r="60">
          <cell r="B60">
            <v>49.711999999999996</v>
          </cell>
          <cell r="C60">
            <v>0.42956800000000001</v>
          </cell>
          <cell r="D60">
            <v>0.29436499999999999</v>
          </cell>
          <cell r="E60">
            <v>1.08344</v>
          </cell>
          <cell r="F60">
            <v>1</v>
          </cell>
          <cell r="G60">
            <v>1</v>
          </cell>
          <cell r="H60">
            <v>1</v>
          </cell>
        </row>
        <row r="61">
          <cell r="B61">
            <v>51</v>
          </cell>
          <cell r="C61">
            <v>0.42956800000000001</v>
          </cell>
          <cell r="D61">
            <v>0.29436499999999999</v>
          </cell>
          <cell r="E61">
            <v>1.08344</v>
          </cell>
          <cell r="F61">
            <v>1</v>
          </cell>
          <cell r="G61">
            <v>1</v>
          </cell>
          <cell r="H61">
            <v>1</v>
          </cell>
        </row>
        <row r="62">
          <cell r="B62">
            <v>52.197599999999994</v>
          </cell>
          <cell r="C62">
            <v>0.42956800000000001</v>
          </cell>
          <cell r="D62">
            <v>0.29436499999999999</v>
          </cell>
          <cell r="E62">
            <v>1.08344</v>
          </cell>
          <cell r="F62">
            <v>1</v>
          </cell>
          <cell r="G62">
            <v>1</v>
          </cell>
          <cell r="H62">
            <v>1</v>
          </cell>
        </row>
        <row r="63">
          <cell r="B63">
            <v>53</v>
          </cell>
          <cell r="C63">
            <v>0.42956800000000001</v>
          </cell>
          <cell r="D63">
            <v>0.29436499999999999</v>
          </cell>
          <cell r="E63">
            <v>1.08344</v>
          </cell>
          <cell r="F63">
            <v>1</v>
          </cell>
          <cell r="G63">
            <v>1</v>
          </cell>
          <cell r="H63">
            <v>1</v>
          </cell>
        </row>
        <row r="64">
          <cell r="B64">
            <v>54</v>
          </cell>
          <cell r="C64">
            <v>0.42956800000000001</v>
          </cell>
          <cell r="D64">
            <v>0.29436499999999999</v>
          </cell>
          <cell r="E64">
            <v>1.08344</v>
          </cell>
          <cell r="F64">
            <v>1</v>
          </cell>
          <cell r="G64">
            <v>1</v>
          </cell>
          <cell r="H64">
            <v>1</v>
          </cell>
        </row>
        <row r="65">
          <cell r="B65">
            <v>54.683199999999999</v>
          </cell>
          <cell r="C65">
            <v>0.42956800000000001</v>
          </cell>
          <cell r="D65">
            <v>0.29436499999999999</v>
          </cell>
          <cell r="E65">
            <v>1.08344</v>
          </cell>
          <cell r="F65">
            <v>1</v>
          </cell>
          <cell r="G65">
            <v>1</v>
          </cell>
          <cell r="H65">
            <v>1</v>
          </cell>
        </row>
        <row r="66">
          <cell r="B66">
            <v>56</v>
          </cell>
          <cell r="C66">
            <v>0.45007439459285487</v>
          </cell>
          <cell r="D66">
            <v>0.33006259188928233</v>
          </cell>
          <cell r="E66">
            <v>1.1532585838429354</v>
          </cell>
          <cell r="F66">
            <v>1</v>
          </cell>
          <cell r="G66">
            <v>1</v>
          </cell>
          <cell r="H66">
            <v>1</v>
          </cell>
        </row>
        <row r="67">
          <cell r="B67">
            <v>57.168799999999997</v>
          </cell>
          <cell r="C67">
            <v>0.46827600000000003</v>
          </cell>
          <cell r="D67">
            <v>0.36174800000000001</v>
          </cell>
          <cell r="E67">
            <v>1.21523</v>
          </cell>
          <cell r="F67">
            <v>1</v>
          </cell>
          <cell r="G67">
            <v>1</v>
          </cell>
          <cell r="H67">
            <v>1</v>
          </cell>
        </row>
        <row r="68">
          <cell r="B68">
            <v>58</v>
          </cell>
          <cell r="C68">
            <v>0.48121985999356298</v>
          </cell>
          <cell r="D68">
            <v>0.38428129159961388</v>
          </cell>
          <cell r="E68">
            <v>1.2593013904087547</v>
          </cell>
          <cell r="F68">
            <v>1</v>
          </cell>
          <cell r="G68">
            <v>1</v>
          </cell>
          <cell r="H68">
            <v>1</v>
          </cell>
        </row>
        <row r="69">
          <cell r="B69">
            <v>59</v>
          </cell>
          <cell r="C69">
            <v>0.49679235757965889</v>
          </cell>
          <cell r="D69">
            <v>0.41139064145477966</v>
          </cell>
          <cell r="E69">
            <v>1.3123227936916644</v>
          </cell>
          <cell r="F69">
            <v>1</v>
          </cell>
          <cell r="G69">
            <v>1</v>
          </cell>
          <cell r="H69">
            <v>1</v>
          </cell>
        </row>
        <row r="70">
          <cell r="B70">
            <v>59.654399999999995</v>
          </cell>
          <cell r="C70">
            <v>0.50698299999999996</v>
          </cell>
          <cell r="D70">
            <v>0.42913099999999998</v>
          </cell>
          <cell r="E70">
            <v>1.3470200000000001</v>
          </cell>
          <cell r="F70">
            <v>1</v>
          </cell>
          <cell r="G70">
            <v>1</v>
          </cell>
          <cell r="H70">
            <v>1</v>
          </cell>
        </row>
        <row r="71">
          <cell r="B71">
            <v>61</v>
          </cell>
          <cell r="C71">
            <v>0.52793789411007408</v>
          </cell>
          <cell r="D71">
            <v>0.46560879980688769</v>
          </cell>
          <cell r="E71">
            <v>1.4183650588992598</v>
          </cell>
          <cell r="F71">
            <v>1</v>
          </cell>
          <cell r="G71">
            <v>1</v>
          </cell>
          <cell r="H71">
            <v>1</v>
          </cell>
        </row>
        <row r="72">
          <cell r="B72">
            <v>62.14</v>
          </cell>
          <cell r="C72">
            <v>0.54569100000000004</v>
          </cell>
          <cell r="D72">
            <v>0.49651299999999998</v>
          </cell>
          <cell r="E72">
            <v>1.478809</v>
          </cell>
          <cell r="F72">
            <v>1</v>
          </cell>
          <cell r="G72">
            <v>1</v>
          </cell>
          <cell r="H72">
            <v>1</v>
          </cell>
        </row>
        <row r="73">
          <cell r="B73">
            <v>63</v>
          </cell>
          <cell r="C73">
            <v>0.55640487833923402</v>
          </cell>
          <cell r="D73">
            <v>0.51516423270035405</v>
          </cell>
          <cell r="E73">
            <v>1.5152877254586417</v>
          </cell>
          <cell r="F73">
            <v>1</v>
          </cell>
          <cell r="G73">
            <v>1</v>
          </cell>
          <cell r="H73">
            <v>1</v>
          </cell>
        </row>
        <row r="74">
          <cell r="B74">
            <v>64</v>
          </cell>
          <cell r="C74">
            <v>0.56886287640811073</v>
          </cell>
          <cell r="D74">
            <v>0.53685171258448661</v>
          </cell>
          <cell r="E74">
            <v>1.5577048480849693</v>
          </cell>
          <cell r="F74">
            <v>1</v>
          </cell>
          <cell r="G74">
            <v>1</v>
          </cell>
          <cell r="H74">
            <v>1</v>
          </cell>
        </row>
        <row r="75">
          <cell r="B75">
            <v>65.247</v>
          </cell>
          <cell r="C75">
            <v>0.58439799999999997</v>
          </cell>
          <cell r="D75">
            <v>0.56389599999999995</v>
          </cell>
          <cell r="E75">
            <v>1.6105989999999999</v>
          </cell>
          <cell r="F75">
            <v>1</v>
          </cell>
          <cell r="G75">
            <v>1</v>
          </cell>
          <cell r="H75">
            <v>1</v>
          </cell>
        </row>
        <row r="76">
          <cell r="B76">
            <v>66</v>
          </cell>
          <cell r="C76">
            <v>0.58439799999999997</v>
          </cell>
          <cell r="D76">
            <v>0.56389599999999995</v>
          </cell>
          <cell r="E76">
            <v>1.6105989999999999</v>
          </cell>
          <cell r="F76">
            <v>1</v>
          </cell>
          <cell r="G76">
            <v>1</v>
          </cell>
          <cell r="H76">
            <v>1</v>
          </cell>
        </row>
        <row r="77">
          <cell r="B77">
            <v>67</v>
          </cell>
          <cell r="C77">
            <v>0.58439799999999997</v>
          </cell>
          <cell r="D77">
            <v>0.56389599999999995</v>
          </cell>
          <cell r="E77">
            <v>1.6105989999999999</v>
          </cell>
          <cell r="F77">
            <v>1</v>
          </cell>
          <cell r="G77">
            <v>1</v>
          </cell>
          <cell r="H77">
            <v>1</v>
          </cell>
        </row>
        <row r="78">
          <cell r="B78">
            <v>68</v>
          </cell>
          <cell r="C78">
            <v>0.58439799999999997</v>
          </cell>
          <cell r="D78">
            <v>0.56389599999999995</v>
          </cell>
          <cell r="E78">
            <v>1.6105989999999999</v>
          </cell>
          <cell r="F78">
            <v>1</v>
          </cell>
          <cell r="G78">
            <v>1</v>
          </cell>
          <cell r="H78">
            <v>1</v>
          </cell>
        </row>
        <row r="79">
          <cell r="B79">
            <v>69</v>
          </cell>
          <cell r="C79">
            <v>0.58439799999999997</v>
          </cell>
          <cell r="D79">
            <v>0.56389599999999995</v>
          </cell>
          <cell r="E79">
            <v>1.6105989999999999</v>
          </cell>
          <cell r="F79">
            <v>1</v>
          </cell>
          <cell r="G79">
            <v>1</v>
          </cell>
          <cell r="H79">
            <v>1</v>
          </cell>
        </row>
        <row r="80">
          <cell r="B80">
            <v>70.218199999999996</v>
          </cell>
          <cell r="C80">
            <v>0.58439799999999997</v>
          </cell>
          <cell r="D80">
            <v>0.56389599999999995</v>
          </cell>
          <cell r="E80">
            <v>1.6105989999999999</v>
          </cell>
          <cell r="F80">
            <v>1</v>
          </cell>
          <cell r="G80">
            <v>1</v>
          </cell>
          <cell r="H80">
            <v>1</v>
          </cell>
        </row>
        <row r="81">
          <cell r="B81">
            <v>71</v>
          </cell>
          <cell r="C81">
            <v>0.58439799999999997</v>
          </cell>
          <cell r="D81">
            <v>0.56389599999999995</v>
          </cell>
          <cell r="E81">
            <v>1.6105989999999999</v>
          </cell>
          <cell r="F81">
            <v>1</v>
          </cell>
          <cell r="G81">
            <v>1</v>
          </cell>
          <cell r="H81">
            <v>1</v>
          </cell>
        </row>
        <row r="82">
          <cell r="B82">
            <v>72</v>
          </cell>
          <cell r="C82">
            <v>0.58439799999999997</v>
          </cell>
          <cell r="D82">
            <v>0.56389599999999995</v>
          </cell>
          <cell r="E82">
            <v>1.6105989999999999</v>
          </cell>
          <cell r="F82">
            <v>1</v>
          </cell>
          <cell r="G82">
            <v>1</v>
          </cell>
          <cell r="H82">
            <v>1</v>
          </cell>
        </row>
        <row r="83">
          <cell r="B83">
            <v>73</v>
          </cell>
          <cell r="C83">
            <v>0.58439799999999997</v>
          </cell>
          <cell r="D83">
            <v>0.56389599999999995</v>
          </cell>
          <cell r="E83">
            <v>1.6105989999999999</v>
          </cell>
          <cell r="F83">
            <v>1</v>
          </cell>
          <cell r="G83">
            <v>1</v>
          </cell>
          <cell r="H83">
            <v>1</v>
          </cell>
        </row>
        <row r="84">
          <cell r="B84">
            <v>74</v>
          </cell>
          <cell r="C84">
            <v>0.58439799999999997</v>
          </cell>
          <cell r="D84">
            <v>0.56389599999999995</v>
          </cell>
          <cell r="E84">
            <v>1.6105989999999999</v>
          </cell>
          <cell r="F84">
            <v>1</v>
          </cell>
          <cell r="G84">
            <v>1</v>
          </cell>
          <cell r="H84">
            <v>1</v>
          </cell>
        </row>
        <row r="85">
          <cell r="B85">
            <v>75.189399999999992</v>
          </cell>
          <cell r="C85">
            <v>0.58439799999999997</v>
          </cell>
          <cell r="D85">
            <v>0.56389599999999995</v>
          </cell>
          <cell r="E85">
            <v>1.6105989999999999</v>
          </cell>
          <cell r="F85">
            <v>1</v>
          </cell>
          <cell r="G85">
            <v>1</v>
          </cell>
          <cell r="H85">
            <v>1</v>
          </cell>
        </row>
      </sheetData>
      <sheetData sheetId="43">
        <row r="5">
          <cell r="D5" t="str">
            <v>Alternative</v>
          </cell>
          <cell r="E5" t="str">
            <v>Opening Year</v>
          </cell>
        </row>
        <row r="6">
          <cell r="D6" t="str">
            <v>A1</v>
          </cell>
          <cell r="E6">
            <v>2004</v>
          </cell>
        </row>
        <row r="7">
          <cell r="D7" t="str">
            <v>B1</v>
          </cell>
          <cell r="E7">
            <v>2033</v>
          </cell>
        </row>
        <row r="8">
          <cell r="D8" t="str">
            <v>C1</v>
          </cell>
          <cell r="E8">
            <v>2027</v>
          </cell>
        </row>
        <row r="9">
          <cell r="D9" t="str">
            <v>D1</v>
          </cell>
          <cell r="E9">
            <v>2026</v>
          </cell>
        </row>
        <row r="10">
          <cell r="D10" t="str">
            <v>E1</v>
          </cell>
          <cell r="E10">
            <v>2033</v>
          </cell>
        </row>
        <row r="11">
          <cell r="D11" t="str">
            <v>F1</v>
          </cell>
          <cell r="E11">
            <v>2044</v>
          </cell>
        </row>
        <row r="12">
          <cell r="D12" t="str">
            <v>A2</v>
          </cell>
          <cell r="E12">
            <v>2004</v>
          </cell>
        </row>
        <row r="13">
          <cell r="D13" t="str">
            <v>B2</v>
          </cell>
          <cell r="E13">
            <v>2033</v>
          </cell>
        </row>
        <row r="14">
          <cell r="D14" t="str">
            <v>C2</v>
          </cell>
          <cell r="E14">
            <v>2027</v>
          </cell>
        </row>
        <row r="15">
          <cell r="D15" t="str">
            <v>D2</v>
          </cell>
          <cell r="E15">
            <v>2026</v>
          </cell>
        </row>
        <row r="16">
          <cell r="D16" t="str">
            <v>E2</v>
          </cell>
          <cell r="E16">
            <v>2033</v>
          </cell>
        </row>
        <row r="17">
          <cell r="D17" t="str">
            <v>B3</v>
          </cell>
          <cell r="E17">
            <v>2033</v>
          </cell>
        </row>
        <row r="18">
          <cell r="D18" t="str">
            <v>F3</v>
          </cell>
          <cell r="E18">
            <v>2044</v>
          </cell>
        </row>
        <row r="19">
          <cell r="D19" t="str">
            <v>A4</v>
          </cell>
          <cell r="E19">
            <v>2004</v>
          </cell>
        </row>
        <row r="20">
          <cell r="D20" t="str">
            <v>B4</v>
          </cell>
          <cell r="E20">
            <v>2033</v>
          </cell>
        </row>
        <row r="21">
          <cell r="D21" t="str">
            <v>E4</v>
          </cell>
          <cell r="E21">
            <v>2033</v>
          </cell>
        </row>
        <row r="29">
          <cell r="D29" t="str">
            <v>A1</v>
          </cell>
          <cell r="E29" t="str">
            <v>A1</v>
          </cell>
        </row>
        <row r="30">
          <cell r="D30" t="str">
            <v>B1</v>
          </cell>
          <cell r="E30" t="str">
            <v>B1</v>
          </cell>
        </row>
        <row r="31">
          <cell r="D31" t="str">
            <v>C1</v>
          </cell>
          <cell r="E31" t="str">
            <v>C1</v>
          </cell>
        </row>
        <row r="32">
          <cell r="D32" t="str">
            <v>D1</v>
          </cell>
          <cell r="E32" t="str">
            <v>D1</v>
          </cell>
        </row>
        <row r="33">
          <cell r="D33" t="str">
            <v>E1</v>
          </cell>
          <cell r="E33" t="str">
            <v>E1</v>
          </cell>
        </row>
        <row r="34">
          <cell r="D34" t="str">
            <v>F1</v>
          </cell>
          <cell r="E34" t="str">
            <v>F1</v>
          </cell>
        </row>
        <row r="35">
          <cell r="D35" t="str">
            <v>A2</v>
          </cell>
          <cell r="E35" t="str">
            <v>A1</v>
          </cell>
        </row>
        <row r="36">
          <cell r="D36" t="str">
            <v>B2</v>
          </cell>
          <cell r="E36" t="str">
            <v>B1</v>
          </cell>
        </row>
        <row r="37">
          <cell r="D37" t="str">
            <v>C2</v>
          </cell>
          <cell r="E37" t="str">
            <v>C1</v>
          </cell>
        </row>
        <row r="38">
          <cell r="D38" t="str">
            <v>D2</v>
          </cell>
          <cell r="E38" t="str">
            <v>D1</v>
          </cell>
        </row>
        <row r="39">
          <cell r="D39" t="str">
            <v>E2</v>
          </cell>
          <cell r="E39" t="str">
            <v>E1</v>
          </cell>
        </row>
        <row r="40">
          <cell r="D40" t="str">
            <v>B3</v>
          </cell>
          <cell r="E40" t="str">
            <v>B1</v>
          </cell>
        </row>
        <row r="41">
          <cell r="D41" t="str">
            <v>F3</v>
          </cell>
          <cell r="E41" t="str">
            <v>F1</v>
          </cell>
        </row>
        <row r="42">
          <cell r="D42" t="str">
            <v>A4</v>
          </cell>
          <cell r="E42" t="str">
            <v>A1</v>
          </cell>
        </row>
        <row r="43">
          <cell r="D43" t="str">
            <v>B4</v>
          </cell>
          <cell r="E43" t="str">
            <v>B1</v>
          </cell>
        </row>
        <row r="44">
          <cell r="D44" t="str">
            <v>E4</v>
          </cell>
          <cell r="E44" t="str">
            <v>E1</v>
          </cell>
        </row>
      </sheetData>
      <sheetData sheetId="44"/>
      <sheetData sheetId="45"/>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HOW TO"/>
      <sheetName val="IEC ratio est"/>
      <sheetName val="Basis"/>
      <sheetName val="spt files"/>
      <sheetName val="ModuleList"/>
      <sheetName val="Rates"/>
      <sheetName val="Fully_Loaded_Rate_Non_Shut"/>
      <sheetName val="WageRates"/>
      <sheetName val="Sheet1"/>
      <sheetName val="LaborFactors"/>
      <sheetName val="AvgLineContents"/>
      <sheetName val="PipeComplexity"/>
      <sheetName val="Foundations"/>
      <sheetName val="OtherCosts"/>
      <sheetName val="ENR Indexes"/>
      <sheetName val="ChemEngIndexes"/>
      <sheetName val="M&amp;S Indexes"/>
      <sheetName val="WeycoIndex"/>
      <sheetName val="Weyco_sum"/>
      <sheetName val="afe_sum"/>
      <sheetName val="ESTIMATE_1"/>
      <sheetName val="example_Weyco_sum"/>
      <sheetName val="example_afe_sum"/>
      <sheetName val="example_estimate"/>
      <sheetName val="CIVIL_SUM"/>
      <sheetName val="CONC_SUM"/>
      <sheetName val="ARCH_SUM"/>
      <sheetName val="PipeAtPump"/>
      <sheetName val="AvgRun"/>
      <sheetName val="AvgRunSS"/>
      <sheetName val="AvgRunCS"/>
      <sheetName val="ELECTRICAL"/>
      <sheetName val="INSTRUMENT"/>
      <sheetName val="INSULATION"/>
      <sheetName val="PAINT"/>
      <sheetName val="PUMPS"/>
      <sheetName val="EQUIP_BY_LBS"/>
      <sheetName val="EQUIPMENT"/>
      <sheetName val="MOTORS"/>
      <sheetName val="DETAIL SHEETS =&gt;"/>
      <sheetName val="CIVIL"/>
      <sheetName val="CONCRETE"/>
      <sheetName val="ARCH"/>
      <sheetName val="PIPE_LABOR"/>
      <sheetName val="PIPE_MATERIAL"/>
      <sheetName val="ELECTRASSY"/>
      <sheetName val="ELECTRSUB"/>
      <sheetName val="ELECTRPART"/>
      <sheetName val="MOTOR_LABOR"/>
      <sheetName val="MOTOR_MATERIAL"/>
      <sheetName val="INSTR"/>
      <sheetName val="PUMP_LABOR"/>
      <sheetName val="PUMP_MATL"/>
      <sheetName val="agitators"/>
      <sheetName val="special pumps"/>
      <sheetName val="specials"/>
      <sheetName val="tanks"/>
      <sheetName val="slat conv"/>
      <sheetName val="pulp eq"/>
      <sheetName val="1336PLUSII AC Drive"/>
      <sheetName val="who 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sheetName val="Emails &amp; Notes"/>
      <sheetName val="Flowcharts"/>
      <sheetName val="Risk Register"/>
      <sheetName val="Assumptions"/>
      <sheetName val="Activities&amp;Costs"/>
      <sheetName val="Matrix #4"/>
      <sheetName val="Matrix #6"/>
      <sheetName val="Matrix #8"/>
      <sheetName val="Matrix #11"/>
      <sheetName val="Highway vs. Transit"/>
      <sheetName val="Sched&amp;Cost #4"/>
      <sheetName val="Sched&amp;Cost #6"/>
      <sheetName val="Sched&amp;Cost #8"/>
      <sheetName val="Sched&amp;Cost #11"/>
      <sheetName val="Escalation Summary"/>
      <sheetName val="Summary #4"/>
      <sheetName val="Summary #6"/>
      <sheetName val="Summary #8"/>
      <sheetName val="Summary #11"/>
      <sheetName val="Summary Add"/>
      <sheetName val="Summary Tables"/>
      <sheetName val="@Risk Stats"/>
      <sheetName val="Tornado Charts"/>
      <sheetName val="EV Tornado"/>
      <sheetName val="Activities"/>
      <sheetName val="Soft Costs"/>
      <sheetName val="Alt Summary"/>
      <sheetName val="Alt Summary w. Uncertainties"/>
      <sheetName val="Budget Uncertain"/>
      <sheetName val="Budget Uncertain_OLD"/>
      <sheetName val="B.U. Panel Discussions"/>
      <sheetName val="Mitigation Strategies"/>
      <sheetName val="Alt 4 Flowchart Breakdown"/>
      <sheetName val="Alt 6 Flowchart Breakdown"/>
      <sheetName val="Alt 8 Flowchart Breakdown"/>
      <sheetName val="Alt 11 Flowchart Breakdown"/>
      <sheetName val="Chart Cost Alt#4"/>
      <sheetName val="Chart Cost Alt#6"/>
      <sheetName val="Chart Cost Alt#8"/>
      <sheetName val="Chart Cost Alt#11"/>
      <sheetName val="Chart Components"/>
      <sheetName val="Chart Compare Cst"/>
      <sheetName val="Chart Highway Cst Compare"/>
      <sheetName val="Chart Transit Cst Compare"/>
      <sheetName val="Chart Bridge Cst Compare"/>
      <sheetName val="Chart Date Alt #4"/>
      <sheetName val="Chart Date Alt #6"/>
      <sheetName val="Chart Date Alt #8"/>
      <sheetName val="Chart Date Alt #11"/>
      <sheetName val="Chart Comparison Date"/>
      <sheetName val="Chart Cashflow Alt #4"/>
      <sheetName val="Chart Cashflow Alt #6"/>
      <sheetName val="Chart Cashflow Alt #8"/>
      <sheetName val="Chart Cashflow Alt #11"/>
      <sheetName val="Old Alt 4 Breakdown"/>
      <sheetName val="Old Alt 6 Breakdown"/>
      <sheetName val="Old Alt 8 Breakdown"/>
      <sheetName val="Old Alt 11 Breakdown"/>
      <sheetName val="Old Alt 4"/>
      <sheetName val="Old Alt 6"/>
      <sheetName val="Old Alt 8"/>
      <sheetName val="Old Alt 11"/>
      <sheetName val="Lookup"/>
      <sheetName val="Distributions"/>
      <sheetName val="Sensitivity Report"/>
      <sheetName val="escalation"/>
    </sheetNames>
    <sheetDataSet>
      <sheetData sheetId="0"/>
      <sheetData sheetId="1"/>
      <sheetData sheetId="2"/>
      <sheetData sheetId="3"/>
      <sheetData sheetId="4"/>
      <sheetData sheetId="5"/>
      <sheetData sheetId="6"/>
      <sheetData sheetId="7"/>
      <sheetData sheetId="8"/>
      <sheetData sheetId="9"/>
      <sheetData sheetId="10"/>
      <sheetData sheetId="11">
        <row r="46">
          <cell r="R46">
            <v>39083</v>
          </cell>
        </row>
        <row r="86">
          <cell r="R86" t="e">
            <v>#VALUE!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ssumptions"/>
      <sheetName val="Flowchart"/>
      <sheetName val="Risk Register"/>
      <sheetName val="Sheet1"/>
      <sheetName val="Activities"/>
      <sheetName val="Matrix"/>
      <sheetName val="Schedule&amp;Costs"/>
      <sheetName val="Output Summary"/>
      <sheetName val="Cost Reconciliation"/>
      <sheetName val="@Risk Stats"/>
      <sheetName val="Tornado Charts"/>
      <sheetName val="EV Tor Delay"/>
      <sheetName val="EV Tor Cost"/>
      <sheetName val="EV Tornado"/>
      <sheetName val="Chart Cost Base"/>
      <sheetName val="Chart Date Base"/>
      <sheetName val="Chart Delay Base"/>
      <sheetName val="Chart Cost by Cntrct"/>
      <sheetName val="Chart Date by Cntrct"/>
      <sheetName val="Chart Cashflow"/>
      <sheetName val="Summary Total Program"/>
      <sheetName val="Site-Civil Summary"/>
      <sheetName val="Bus Maint Summary"/>
      <sheetName val="Offsite Roads Summary"/>
      <sheetName val="Cost Adjustment Calculations"/>
      <sheetName val="Lookup"/>
      <sheetName val="Support"/>
      <sheetName val="Distributions"/>
      <sheetName val="Sensitivity Results"/>
      <sheetName val="Sensitivity Report"/>
      <sheetName val="non mitOutput Statistics Report"/>
      <sheetName val="Mit Output Statistics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
          <cell r="E2" t="str">
            <v>RMM &amp; Site Demo</v>
          </cell>
        </row>
        <row r="3">
          <cell r="E3" t="str">
            <v>Site Preparation</v>
          </cell>
        </row>
        <row r="4">
          <cell r="E4" t="str">
            <v>RC Facility</v>
          </cell>
        </row>
        <row r="5">
          <cell r="E5" t="str">
            <v>Off-Site Roads</v>
          </cell>
        </row>
        <row r="6">
          <cell r="E6" t="str">
            <v>BMF</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G CONTRACT"/>
      <sheetName val="HVAC"/>
      <sheetName val="PLUMBING"/>
      <sheetName val="ELECTRICAL"/>
    </sheetNames>
    <sheetDataSet>
      <sheetData sheetId="0" refreshError="1">
        <row r="1">
          <cell r="E1" t="str">
            <v xml:space="preserve"> </v>
          </cell>
        </row>
        <row r="2">
          <cell r="A2" t="str">
            <v>PRELIMINARY CONSTRUCTION COST ESTIMATE</v>
          </cell>
        </row>
        <row r="4">
          <cell r="A4" t="str">
            <v>CAPITAL PROJECT</v>
          </cell>
          <cell r="E4" t="str">
            <v>PLANT NAME: SPRING CREEK</v>
          </cell>
        </row>
        <row r="5">
          <cell r="A5" t="str">
            <v>WP-225</v>
          </cell>
          <cell r="E5" t="str">
            <v>PROJECT NAME: AWPCP UPGRADE</v>
          </cell>
        </row>
        <row r="6">
          <cell r="A6" t="str">
            <v>J.C. ESTIMATING, INC./JCE CO.</v>
          </cell>
          <cell r="E6" t="str">
            <v>PRELIMINARY DESIGN</v>
          </cell>
        </row>
        <row r="8">
          <cell r="A8" t="str">
            <v>ITEM</v>
          </cell>
        </row>
        <row r="9">
          <cell r="A9" t="str">
            <v>ITEM</v>
          </cell>
          <cell r="B9" t="str">
            <v>DESCRIPTION</v>
          </cell>
          <cell r="D9" t="str">
            <v>UNIT</v>
          </cell>
          <cell r="E9" t="str">
            <v>QTY</v>
          </cell>
          <cell r="F9" t="str">
            <v>UNIT</v>
          </cell>
          <cell r="G9" t="str">
            <v>AMOUNT</v>
          </cell>
        </row>
        <row r="10">
          <cell r="A10" t="str">
            <v xml:space="preserve"># </v>
          </cell>
          <cell r="B10" t="str">
            <v xml:space="preserve"> </v>
          </cell>
          <cell r="F10" t="str">
            <v>COST $</v>
          </cell>
          <cell r="G10" t="str">
            <v>$</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EC ratio est"/>
      <sheetName val="Basis"/>
      <sheetName val="ModuleList"/>
      <sheetName val="vbModuleList"/>
      <sheetName val="Rates"/>
      <sheetName val="Fully Loaded Rate--Non-Shut"/>
      <sheetName val="dlgWageRatePopUp"/>
      <sheetName val="vbWageRateMacros"/>
      <sheetName val="WageRates"/>
      <sheetName val="Sheet1"/>
      <sheetName val="LaborFactors"/>
      <sheetName val="AvgLineContents"/>
      <sheetName val="PipeComplexity"/>
      <sheetName val="Foundations"/>
      <sheetName val="OtherCosts"/>
      <sheetName val="ENR Indexes"/>
      <sheetName val="ChemEngIndexes"/>
      <sheetName val="M&amp;S Indexes"/>
      <sheetName val="WeycoIndex"/>
      <sheetName val="Weyco sum"/>
      <sheetName val="afe sum (1)"/>
      <sheetName val="afe sum"/>
      <sheetName val="ESTIMATE (1)"/>
      <sheetName val="example Weyco sum"/>
      <sheetName val="example afe sum"/>
      <sheetName val="example estimate"/>
      <sheetName val="dlgCIVIL SUM (2)"/>
      <sheetName val="dlgCIVIL SUM"/>
      <sheetName val="vbCIVIL SUM"/>
      <sheetName val="CIVIL SUM"/>
      <sheetName val="dlgCONC SUM (2)"/>
      <sheetName val="dlgCONC SUM"/>
      <sheetName val="vbCONC SUM"/>
      <sheetName val="CONC SUM"/>
      <sheetName val="dlgARCHSUM (2)"/>
      <sheetName val="dlgARCH SUM"/>
      <sheetName val="vbARCH SUM"/>
      <sheetName val="ARCH SUM"/>
      <sheetName val="dlgPipeAtPump (2)"/>
      <sheetName val="dlgPipeAtPump"/>
      <sheetName val="vbPipeAtPump"/>
      <sheetName val="PipeAtPump"/>
      <sheetName val="vbAvgRunSS"/>
      <sheetName val="AvgRun"/>
      <sheetName val="dlgAvgRunSS (2)"/>
      <sheetName val="dlgAvgRunSS"/>
      <sheetName val="dlgAvgRunCS (2)"/>
      <sheetName val="dlgAvgRunCS"/>
      <sheetName val="vbAvgRunCS"/>
      <sheetName val="AvgRunSS"/>
      <sheetName val="AvgRunCS"/>
      <sheetName val="dlgELECTRICAL (2)"/>
      <sheetName val="dlgELECTRICAL"/>
      <sheetName val="vbELECTRICAL"/>
      <sheetName val="ELECTRICAL"/>
      <sheetName val="dlgINSTRUMENT (2)"/>
      <sheetName val="dlgINSTRUMENT"/>
      <sheetName val="vbINSTRUMENT"/>
      <sheetName val="INSTRUMENT"/>
      <sheetName val="dlgINSULATION (2)"/>
      <sheetName val="dlgINSULATION"/>
      <sheetName val="vbINSULATION"/>
      <sheetName val="INSULATION"/>
      <sheetName val="dlgPAINT (2)"/>
      <sheetName val="dlgPAINT"/>
      <sheetName val="vbPAINT"/>
      <sheetName val="PAINT"/>
      <sheetName val="dlgPUMPS (2)"/>
      <sheetName val="dlgPUMPS"/>
      <sheetName val="vbPUMPS"/>
      <sheetName val="PUMPS"/>
      <sheetName val="dlgEQUIP-BY-LBS (2)"/>
      <sheetName val="dlgEQUIP-BY-LBS"/>
      <sheetName val="vbEQUIP-BY-LBS"/>
      <sheetName val="EQUIP-BY-LBS"/>
      <sheetName val="dlgEQUIPMENT (2)"/>
      <sheetName val="dlgEQUIPMENT"/>
      <sheetName val="vbEQUIPMENT"/>
      <sheetName val="EQUIPMENT"/>
      <sheetName val="dlgMOTORS (2)"/>
      <sheetName val="dlgMOTORS"/>
      <sheetName val="MOTORS"/>
      <sheetName val="DETAIL SHEETS =&gt;"/>
      <sheetName val="dlgCIVIL (2)"/>
      <sheetName val="dlgCIVIL"/>
      <sheetName val="vbCIVIL"/>
      <sheetName val="CIVIL"/>
      <sheetName val="dlgCONCRETE (2)"/>
      <sheetName val="dlgCONCRETE"/>
      <sheetName val="vbCONCRETE"/>
      <sheetName val="CONCRETE"/>
      <sheetName val="dlgARCH (2)"/>
      <sheetName val="dlgARCH"/>
      <sheetName val="vbARCH"/>
      <sheetName val="ARCH"/>
      <sheetName val="dlgPIPE LABOR (2)"/>
      <sheetName val="dlgPIPE LABOR"/>
      <sheetName val="vbPIPE LABOR"/>
      <sheetName val="PIPE LABOR"/>
      <sheetName val="dlgPIPE MATERIAL (2)"/>
      <sheetName val="dlgPIPE MATERIAL"/>
      <sheetName val="vbPIPE MATERIAL"/>
      <sheetName val="PIPE MATERIAL"/>
      <sheetName val="dlgELECTRASSY (2)"/>
      <sheetName val="dlgELECTRASSY"/>
      <sheetName val="ELECTRASSY"/>
      <sheetName val="dlgELECTRSUB (2)"/>
      <sheetName val="dlgELECTRSUB"/>
      <sheetName val="ELECTRSUB"/>
      <sheetName val="dlgELECTRPART (5)"/>
      <sheetName val="dlgELECTRPART (4)"/>
      <sheetName val="dlgELECTRPART (3)"/>
      <sheetName val="dlgELECTRPART (2)"/>
      <sheetName val="dlgELECTRPART"/>
      <sheetName val="vbELECTRPART"/>
      <sheetName val="ELECTRPART"/>
      <sheetName val="dlgMOTOR LABOR (2)"/>
      <sheetName val="dlgMOTOR LABOR"/>
      <sheetName val="vbMOTOR LABOR"/>
      <sheetName val="MOTOR LABOR"/>
      <sheetName val="MOTOR MATERIAL"/>
      <sheetName val="dlgINSTR (2)"/>
      <sheetName val="dlgINSTR"/>
      <sheetName val="vbINSTR"/>
      <sheetName val="INSTR"/>
      <sheetName val="dlgPUMP LABOR (2)"/>
      <sheetName val="dlgPUMP LABOR"/>
      <sheetName val="vbPUMP LABOR"/>
      <sheetName val="PUMP LABOR"/>
      <sheetName val="dlgPUMP MATL (2)"/>
      <sheetName val="dlgPUMP MATL"/>
      <sheetName val="vbPUMP MATL"/>
      <sheetName val="PUMP MATL"/>
      <sheetName val="agitators"/>
      <sheetName val="special pumps"/>
      <sheetName val="specials"/>
      <sheetName val="tanks"/>
      <sheetName val="slat conv"/>
      <sheetName val="pulp eq"/>
      <sheetName val="dlgAvgRun"/>
      <sheetName val="1336PLUSII AC Drive"/>
      <sheetName val="who is"/>
      <sheetName val="vbPumpTank"/>
      <sheetName val="vbMccRoom"/>
      <sheetName val="vbOPEN"/>
      <sheetName val="Rates (2)"/>
      <sheetName val="Rates (1)"/>
      <sheetName val="Fully Loaded Rate--Non-Shut (2)"/>
      <sheetName val="Fully Loaded Rate--Non-Shut (1)"/>
      <sheetName val="Module1"/>
      <sheetName val="vbAvgR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stpxweb.dot.gov/policy/Data/VOTrevision1_2-11-03.pdf%20+%20HD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E23" sqref="E23"/>
    </sheetView>
  </sheetViews>
  <sheetFormatPr defaultRowHeight="13.2"/>
  <cols>
    <col min="1" max="1" width="34.33203125" bestFit="1" customWidth="1"/>
    <col min="2" max="2" width="14.44140625" customWidth="1"/>
    <col min="3" max="3" width="15.44140625" customWidth="1"/>
    <col min="4" max="4" width="20.109375" bestFit="1" customWidth="1"/>
    <col min="5" max="5" width="16.109375" bestFit="1" customWidth="1"/>
    <col min="6" max="6" width="20.5546875" bestFit="1" customWidth="1"/>
    <col min="7" max="7" width="14.5546875" bestFit="1" customWidth="1"/>
  </cols>
  <sheetData>
    <row r="2" spans="1:3">
      <c r="A2" s="111"/>
    </row>
    <row r="3" spans="1:3">
      <c r="A3" s="18"/>
      <c r="B3" s="238">
        <v>7.0000000000000007E-2</v>
      </c>
      <c r="C3" s="238">
        <v>0.03</v>
      </c>
    </row>
    <row r="4" spans="1:3">
      <c r="A4" s="239" t="s">
        <v>2</v>
      </c>
      <c r="B4" s="240">
        <f>-SUM(B5:B7)</f>
        <v>202495000</v>
      </c>
      <c r="C4" s="240">
        <f>-SUM(C5:C7)</f>
        <v>312392000</v>
      </c>
    </row>
    <row r="5" spans="1:3">
      <c r="A5" s="241" t="s">
        <v>360</v>
      </c>
      <c r="B5" s="242">
        <f>-ROUND('Bike Sharing CBA'!E9,-3)</f>
        <v>-15431000</v>
      </c>
      <c r="C5" s="242">
        <f>-ROUND('Bike Sharing CBA'!E8,-3)</f>
        <v>-18632000</v>
      </c>
    </row>
    <row r="6" spans="1:3">
      <c r="A6" s="241" t="s">
        <v>361</v>
      </c>
      <c r="B6" s="242">
        <f>-ROUND('Bike Sharing CBA'!E12,-3)</f>
        <v>-54373000</v>
      </c>
      <c r="C6" s="242">
        <f>-ROUND('Bike Sharing CBA'!E11,-3)</f>
        <v>-83456000</v>
      </c>
    </row>
    <row r="7" spans="1:3">
      <c r="A7" s="241" t="s">
        <v>362</v>
      </c>
      <c r="B7" s="242">
        <f>-ROUND('Bike Sharing CBA'!E39,-3)</f>
        <v>-132691000</v>
      </c>
      <c r="C7" s="242">
        <f>-ROUND('Bike Sharing CBA'!E38,-3)</f>
        <v>-210304000</v>
      </c>
    </row>
    <row r="8" spans="1:3">
      <c r="A8" s="1"/>
      <c r="B8" s="1"/>
      <c r="C8" s="1"/>
    </row>
    <row r="9" spans="1:3">
      <c r="A9" s="239" t="s">
        <v>1</v>
      </c>
      <c r="B9" s="240">
        <f>SUM(B10:B16)</f>
        <v>348584000</v>
      </c>
      <c r="C9" s="240">
        <f>SUM(C10:C16)</f>
        <v>569033000</v>
      </c>
    </row>
    <row r="10" spans="1:3">
      <c r="A10" s="241" t="s">
        <v>363</v>
      </c>
      <c r="B10" s="242">
        <f>ROUND('Bike Sharing CBA'!E84,-3)</f>
        <v>151511000</v>
      </c>
      <c r="C10" s="242">
        <f>ROUND('Bike Sharing CBA'!E83,-3)</f>
        <v>247712000</v>
      </c>
    </row>
    <row r="11" spans="1:3">
      <c r="A11" s="241" t="s">
        <v>364</v>
      </c>
      <c r="B11" s="242">
        <f>ROUND('Bike Sharing CBA'!E95,-3)</f>
        <v>154440000</v>
      </c>
      <c r="C11" s="242">
        <f>ROUND('Bike Sharing CBA'!E94,-3)</f>
        <v>252344000</v>
      </c>
    </row>
    <row r="12" spans="1:3">
      <c r="A12" s="241" t="s">
        <v>365</v>
      </c>
      <c r="B12" s="242">
        <f>ROUND('Bike Sharing CBA'!E100,-3)</f>
        <v>23484000</v>
      </c>
      <c r="C12" s="242">
        <f>ROUND('Bike Sharing CBA'!E99,-3)</f>
        <v>38371000</v>
      </c>
    </row>
    <row r="13" spans="1:3">
      <c r="A13" s="241" t="s">
        <v>366</v>
      </c>
      <c r="B13" s="242">
        <f>ROUND('Bike Sharing CBA'!E105,-3)</f>
        <v>6557000</v>
      </c>
      <c r="C13" s="242">
        <f>ROUND('Bike Sharing CBA'!E104,-3)</f>
        <v>10682000</v>
      </c>
    </row>
    <row r="14" spans="1:3">
      <c r="A14" s="241" t="s">
        <v>367</v>
      </c>
      <c r="B14" s="242">
        <f>ROUND('Bike Sharing CBA'!E120,-3)</f>
        <v>8894000</v>
      </c>
      <c r="C14" s="242">
        <f>ROUND('Bike Sharing CBA'!E119,-3)</f>
        <v>13901000</v>
      </c>
    </row>
    <row r="15" spans="1:3">
      <c r="A15" s="241" t="s">
        <v>368</v>
      </c>
      <c r="B15" s="242">
        <f>ROUND('Bike Sharing CBA'!E127,-3)</f>
        <v>1269000</v>
      </c>
      <c r="C15" s="242">
        <f>ROUND('Bike Sharing CBA'!E126,-3)</f>
        <v>2067000</v>
      </c>
    </row>
    <row r="16" spans="1:3">
      <c r="A16" s="241" t="s">
        <v>369</v>
      </c>
      <c r="B16" s="242">
        <f>ROUND('Bike Sharing CBA'!E132,-3)</f>
        <v>2429000</v>
      </c>
      <c r="C16" s="242">
        <f>ROUND('Bike Sharing CBA'!E131,-3)</f>
        <v>3956000</v>
      </c>
    </row>
    <row r="17" spans="1:3">
      <c r="A17" s="1"/>
      <c r="B17" s="1"/>
      <c r="C17" s="1"/>
    </row>
    <row r="18" spans="1:3">
      <c r="A18" s="207" t="s">
        <v>296</v>
      </c>
      <c r="B18" s="243">
        <f>'Bike Sharing CBA'!E144</f>
        <v>146089092.08935434</v>
      </c>
      <c r="C18" s="243">
        <f>'Bike Sharing CBA'!E143</f>
        <v>256642416.47699732</v>
      </c>
    </row>
    <row r="19" spans="1:3">
      <c r="A19" s="207" t="s">
        <v>297</v>
      </c>
      <c r="B19" s="247">
        <f>'Bike Sharing CBA'!E146</f>
        <v>0.78998336056284102</v>
      </c>
      <c r="C19" s="247"/>
    </row>
    <row r="20" spans="1:3">
      <c r="A20" s="207" t="s">
        <v>298</v>
      </c>
      <c r="B20" s="244">
        <f>'Bike Sharing CBA'!E149</f>
        <v>1.7214444563182552</v>
      </c>
      <c r="C20" s="244">
        <f>'Bike Sharing CBA'!E148</f>
        <v>1.8215391811791546</v>
      </c>
    </row>
    <row r="21" spans="1:3">
      <c r="A21" s="1"/>
      <c r="B21" s="1"/>
      <c r="C21" s="1"/>
    </row>
    <row r="22" spans="1:3">
      <c r="A22" s="18" t="s">
        <v>370</v>
      </c>
      <c r="B22" s="1"/>
      <c r="C22" s="1"/>
    </row>
  </sheetData>
  <mergeCells count="1">
    <mergeCell ref="B19:C19"/>
  </mergeCell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W46"/>
  <sheetViews>
    <sheetView workbookViewId="0">
      <pane xSplit="1" ySplit="2" topLeftCell="B6" activePane="bottomRight" state="frozen"/>
      <selection pane="topRight" activeCell="B1" sqref="B1"/>
      <selection pane="bottomLeft" activeCell="A3" sqref="A3"/>
      <selection pane="bottomRight" activeCell="A25" sqref="A25:XFD25"/>
    </sheetView>
  </sheetViews>
  <sheetFormatPr defaultRowHeight="13.2"/>
  <cols>
    <col min="1" max="1" width="46.88671875" bestFit="1" customWidth="1"/>
    <col min="2" max="2" width="8" bestFit="1" customWidth="1"/>
    <col min="3" max="3" width="12" bestFit="1" customWidth="1"/>
    <col min="23" max="23" width="9.109375" style="2"/>
  </cols>
  <sheetData>
    <row r="1" spans="1:23" s="94" customFormat="1">
      <c r="B1" s="94">
        <v>2010</v>
      </c>
      <c r="C1" s="94">
        <v>2011</v>
      </c>
      <c r="D1" s="94">
        <v>2012</v>
      </c>
      <c r="E1" s="94">
        <v>2013</v>
      </c>
      <c r="F1" s="94">
        <v>2014</v>
      </c>
      <c r="G1" s="94">
        <v>2015</v>
      </c>
      <c r="H1" s="94">
        <v>2016</v>
      </c>
      <c r="I1" s="94">
        <v>2017</v>
      </c>
      <c r="J1" s="94">
        <v>2018</v>
      </c>
      <c r="K1" s="94">
        <v>2019</v>
      </c>
      <c r="L1" s="94">
        <v>2020</v>
      </c>
      <c r="M1" s="94">
        <v>2021</v>
      </c>
      <c r="N1" s="94">
        <v>2022</v>
      </c>
      <c r="O1" s="94">
        <v>2023</v>
      </c>
      <c r="P1" s="94">
        <v>2024</v>
      </c>
      <c r="Q1" s="94">
        <v>2025</v>
      </c>
      <c r="R1" s="94">
        <v>2026</v>
      </c>
      <c r="S1" s="94">
        <v>2027</v>
      </c>
      <c r="T1" s="94">
        <v>2028</v>
      </c>
      <c r="U1" s="94">
        <v>2029</v>
      </c>
      <c r="V1" s="94">
        <v>2030</v>
      </c>
      <c r="W1" s="97"/>
    </row>
    <row r="2" spans="1:23" s="94" customFormat="1">
      <c r="C2" s="94" t="s">
        <v>22</v>
      </c>
      <c r="D2" s="94" t="s">
        <v>23</v>
      </c>
      <c r="E2" s="94" t="s">
        <v>24</v>
      </c>
      <c r="F2" s="94" t="s">
        <v>25</v>
      </c>
      <c r="G2" s="94" t="s">
        <v>26</v>
      </c>
      <c r="H2" s="94" t="s">
        <v>27</v>
      </c>
      <c r="I2" s="94" t="s">
        <v>28</v>
      </c>
      <c r="J2" s="94" t="s">
        <v>29</v>
      </c>
      <c r="K2" s="94" t="s">
        <v>30</v>
      </c>
      <c r="L2" s="94" t="s">
        <v>31</v>
      </c>
      <c r="M2" s="94" t="s">
        <v>32</v>
      </c>
      <c r="N2" s="94" t="s">
        <v>33</v>
      </c>
      <c r="O2" s="94" t="s">
        <v>34</v>
      </c>
      <c r="P2" s="94" t="s">
        <v>35</v>
      </c>
      <c r="Q2" s="94" t="s">
        <v>36</v>
      </c>
      <c r="R2" s="94" t="s">
        <v>37</v>
      </c>
      <c r="S2" s="94" t="s">
        <v>38</v>
      </c>
      <c r="T2" s="94" t="s">
        <v>39</v>
      </c>
      <c r="U2" s="94" t="s">
        <v>40</v>
      </c>
      <c r="V2" s="94" t="s">
        <v>174</v>
      </c>
      <c r="W2" s="97" t="s">
        <v>54</v>
      </c>
    </row>
    <row r="3" spans="1:23" s="104" customFormat="1">
      <c r="A3" s="105" t="s">
        <v>157</v>
      </c>
      <c r="B3" s="105"/>
      <c r="C3" s="105"/>
      <c r="W3" s="97"/>
    </row>
    <row r="4" spans="1:23" s="28" customFormat="1">
      <c r="A4" s="28" t="s">
        <v>311</v>
      </c>
      <c r="C4" s="28">
        <v>1.5</v>
      </c>
      <c r="D4" s="28">
        <v>1.5</v>
      </c>
      <c r="E4" s="28">
        <f>D4</f>
        <v>1.5</v>
      </c>
      <c r="F4" s="28">
        <f t="shared" ref="F4:V4" si="0">E4</f>
        <v>1.5</v>
      </c>
      <c r="G4" s="28">
        <f t="shared" si="0"/>
        <v>1.5</v>
      </c>
      <c r="H4" s="28">
        <f t="shared" si="0"/>
        <v>1.5</v>
      </c>
      <c r="I4" s="28">
        <f t="shared" si="0"/>
        <v>1.5</v>
      </c>
      <c r="J4" s="28">
        <f t="shared" si="0"/>
        <v>1.5</v>
      </c>
      <c r="K4" s="28">
        <f t="shared" si="0"/>
        <v>1.5</v>
      </c>
      <c r="L4" s="28">
        <f t="shared" si="0"/>
        <v>1.5</v>
      </c>
      <c r="M4" s="28">
        <f t="shared" si="0"/>
        <v>1.5</v>
      </c>
      <c r="N4" s="28">
        <f t="shared" si="0"/>
        <v>1.5</v>
      </c>
      <c r="O4" s="28">
        <f t="shared" si="0"/>
        <v>1.5</v>
      </c>
      <c r="P4" s="28">
        <f t="shared" si="0"/>
        <v>1.5</v>
      </c>
      <c r="Q4" s="28">
        <f t="shared" si="0"/>
        <v>1.5</v>
      </c>
      <c r="R4" s="28">
        <f t="shared" si="0"/>
        <v>1.5</v>
      </c>
      <c r="S4" s="28">
        <f t="shared" si="0"/>
        <v>1.5</v>
      </c>
      <c r="T4" s="28">
        <f t="shared" si="0"/>
        <v>1.5</v>
      </c>
      <c r="U4" s="28">
        <f t="shared" si="0"/>
        <v>1.5</v>
      </c>
      <c r="V4" s="28">
        <f t="shared" si="0"/>
        <v>1.5</v>
      </c>
      <c r="W4" s="80" t="s">
        <v>312</v>
      </c>
    </row>
    <row r="5" spans="1:23" s="28" customFormat="1">
      <c r="A5" s="28" t="s">
        <v>142</v>
      </c>
      <c r="C5" s="28">
        <v>3</v>
      </c>
      <c r="D5" s="28">
        <v>3</v>
      </c>
      <c r="E5" s="28">
        <v>3</v>
      </c>
      <c r="F5" s="28">
        <v>3</v>
      </c>
      <c r="G5" s="28">
        <v>3</v>
      </c>
      <c r="H5" s="28">
        <v>3</v>
      </c>
      <c r="I5" s="28">
        <v>3</v>
      </c>
      <c r="J5" s="28">
        <v>3</v>
      </c>
      <c r="K5" s="28">
        <v>3</v>
      </c>
      <c r="L5" s="28">
        <v>3</v>
      </c>
      <c r="M5" s="28">
        <v>3</v>
      </c>
      <c r="N5" s="28">
        <v>3</v>
      </c>
      <c r="O5" s="28">
        <v>3</v>
      </c>
      <c r="P5" s="28">
        <v>3</v>
      </c>
      <c r="Q5" s="28">
        <v>3</v>
      </c>
      <c r="R5" s="28">
        <v>3</v>
      </c>
      <c r="S5" s="28">
        <v>3</v>
      </c>
      <c r="T5" s="28">
        <v>3</v>
      </c>
      <c r="U5" s="28">
        <v>3</v>
      </c>
      <c r="V5" s="28">
        <v>3</v>
      </c>
      <c r="W5" s="2" t="s">
        <v>206</v>
      </c>
    </row>
    <row r="6" spans="1:23" s="28" customFormat="1">
      <c r="A6" t="s">
        <v>144</v>
      </c>
      <c r="B6"/>
      <c r="C6" s="28">
        <f>C4/C5</f>
        <v>0.5</v>
      </c>
      <c r="D6" s="28">
        <f>D4/D5</f>
        <v>0.5</v>
      </c>
      <c r="E6" s="28">
        <f t="shared" ref="E6:V6" si="1">E4/E5</f>
        <v>0.5</v>
      </c>
      <c r="F6" s="28">
        <f t="shared" si="1"/>
        <v>0.5</v>
      </c>
      <c r="G6" s="28">
        <f t="shared" si="1"/>
        <v>0.5</v>
      </c>
      <c r="H6" s="28">
        <f t="shared" si="1"/>
        <v>0.5</v>
      </c>
      <c r="I6" s="28">
        <f t="shared" si="1"/>
        <v>0.5</v>
      </c>
      <c r="J6" s="28">
        <f t="shared" si="1"/>
        <v>0.5</v>
      </c>
      <c r="K6" s="28">
        <f t="shared" si="1"/>
        <v>0.5</v>
      </c>
      <c r="L6" s="28">
        <f t="shared" si="1"/>
        <v>0.5</v>
      </c>
      <c r="M6" s="28">
        <f t="shared" si="1"/>
        <v>0.5</v>
      </c>
      <c r="N6" s="28">
        <f t="shared" si="1"/>
        <v>0.5</v>
      </c>
      <c r="O6" s="28">
        <f t="shared" si="1"/>
        <v>0.5</v>
      </c>
      <c r="P6" s="28">
        <f t="shared" si="1"/>
        <v>0.5</v>
      </c>
      <c r="Q6" s="28">
        <f t="shared" si="1"/>
        <v>0.5</v>
      </c>
      <c r="R6" s="28">
        <f t="shared" si="1"/>
        <v>0.5</v>
      </c>
      <c r="S6" s="28">
        <f t="shared" si="1"/>
        <v>0.5</v>
      </c>
      <c r="T6" s="28">
        <f t="shared" si="1"/>
        <v>0.5</v>
      </c>
      <c r="U6" s="28">
        <f t="shared" si="1"/>
        <v>0.5</v>
      </c>
      <c r="V6" s="28">
        <f t="shared" si="1"/>
        <v>0.5</v>
      </c>
      <c r="W6" s="80"/>
    </row>
    <row r="7" spans="1:23">
      <c r="A7" s="28" t="s">
        <v>194</v>
      </c>
      <c r="B7" s="28"/>
      <c r="C7" s="128">
        <f>'Price Assumptions'!$B$6</f>
        <v>13.91</v>
      </c>
      <c r="D7" s="128">
        <f>'Price Assumptions'!$B$6</f>
        <v>13.91</v>
      </c>
      <c r="E7" s="128">
        <f>'Price Assumptions'!$B$6</f>
        <v>13.91</v>
      </c>
      <c r="F7" s="128">
        <f>'Price Assumptions'!$B$6</f>
        <v>13.91</v>
      </c>
      <c r="G7" s="128">
        <f>'Price Assumptions'!$B$6</f>
        <v>13.91</v>
      </c>
      <c r="H7" s="128">
        <f>'Price Assumptions'!$B$6</f>
        <v>13.91</v>
      </c>
      <c r="I7" s="128">
        <f>'Price Assumptions'!$B$6</f>
        <v>13.91</v>
      </c>
      <c r="J7" s="128">
        <f>'Price Assumptions'!$B$6</f>
        <v>13.91</v>
      </c>
      <c r="K7" s="128">
        <f>'Price Assumptions'!$B$6</f>
        <v>13.91</v>
      </c>
      <c r="L7" s="128">
        <f>'Price Assumptions'!$B$6</f>
        <v>13.91</v>
      </c>
      <c r="M7" s="128">
        <f>'Price Assumptions'!$B$6</f>
        <v>13.91</v>
      </c>
      <c r="N7" s="128">
        <f>'Price Assumptions'!$B$6</f>
        <v>13.91</v>
      </c>
      <c r="O7" s="128">
        <f>'Price Assumptions'!$B$6</f>
        <v>13.91</v>
      </c>
      <c r="P7" s="128">
        <f>'Price Assumptions'!$B$6</f>
        <v>13.91</v>
      </c>
      <c r="Q7" s="128">
        <f>'Price Assumptions'!$B$6</f>
        <v>13.91</v>
      </c>
      <c r="R7" s="128">
        <f>'Price Assumptions'!$B$6</f>
        <v>13.91</v>
      </c>
      <c r="S7" s="128">
        <f>'Price Assumptions'!$B$6</f>
        <v>13.91</v>
      </c>
      <c r="T7" s="128">
        <f>'Price Assumptions'!$B$6</f>
        <v>13.91</v>
      </c>
      <c r="U7" s="128">
        <f>'Price Assumptions'!$B$6</f>
        <v>13.91</v>
      </c>
      <c r="V7" s="128">
        <f>'Price Assumptions'!$B$6</f>
        <v>13.91</v>
      </c>
    </row>
    <row r="8" spans="1:23" s="28" customFormat="1">
      <c r="A8"/>
      <c r="B8"/>
      <c r="C8"/>
      <c r="D8" s="102"/>
      <c r="E8" s="102"/>
      <c r="F8" s="102"/>
      <c r="G8" s="102"/>
      <c r="H8" s="102"/>
      <c r="I8" s="102"/>
      <c r="J8" s="102"/>
      <c r="K8" s="102"/>
      <c r="L8" s="102"/>
      <c r="M8" s="102"/>
      <c r="N8" s="102"/>
      <c r="O8" s="102"/>
      <c r="P8" s="102"/>
      <c r="Q8" s="102"/>
      <c r="R8" s="102"/>
      <c r="S8" s="102"/>
      <c r="T8" s="102"/>
      <c r="U8" s="102"/>
      <c r="V8" s="102"/>
      <c r="W8" s="80"/>
    </row>
    <row r="9" spans="1:23" s="28" customFormat="1">
      <c r="A9" s="4" t="s">
        <v>158</v>
      </c>
      <c r="B9" s="4"/>
      <c r="C9" s="4"/>
      <c r="W9" s="80"/>
    </row>
    <row r="10" spans="1:23" s="28" customFormat="1">
      <c r="A10" s="111" t="s">
        <v>207</v>
      </c>
      <c r="B10" s="133">
        <v>634103</v>
      </c>
      <c r="C10" s="133">
        <f>((L10-B10)/10)+B10</f>
        <v>645672.69999999995</v>
      </c>
      <c r="D10" s="133">
        <f>((L10-C10)/9)+C10</f>
        <v>657242.39999999991</v>
      </c>
      <c r="E10" s="133">
        <f>((L10-D10)/8)+D10</f>
        <v>668812.09999999986</v>
      </c>
      <c r="F10" s="133">
        <f>((L10-E10)/7)+E10</f>
        <v>680381.79999999993</v>
      </c>
      <c r="G10" s="133">
        <f>((L10-F10)/6)+F10</f>
        <v>691951.5</v>
      </c>
      <c r="H10" s="133">
        <f>((L10-G10)/5)+G10</f>
        <v>703521.2</v>
      </c>
      <c r="I10" s="133">
        <f>((L10-H10)/4)+H10</f>
        <v>715090.89999999991</v>
      </c>
      <c r="J10" s="133">
        <f>((L10-I10)/3)+I10</f>
        <v>726660.6</v>
      </c>
      <c r="K10" s="133">
        <f>((L10-J10)/2)+J10</f>
        <v>738230.3</v>
      </c>
      <c r="L10" s="82">
        <v>749800</v>
      </c>
      <c r="M10" s="133">
        <f>((V10-L10)/10)+L10</f>
        <v>755852.3</v>
      </c>
      <c r="N10" s="133">
        <f>((V10-M10)/9)+M10</f>
        <v>761904.60000000009</v>
      </c>
      <c r="O10" s="133">
        <f>((V10-N10)/8)+N10</f>
        <v>767956.90000000014</v>
      </c>
      <c r="P10" s="133">
        <f>((V10-O10)/7)+O10</f>
        <v>774009.20000000007</v>
      </c>
      <c r="Q10" s="133">
        <f>((V10-P10)/6)+P10</f>
        <v>780061.5</v>
      </c>
      <c r="R10" s="133">
        <f>((V10-Q10)/5)+Q10</f>
        <v>786113.8</v>
      </c>
      <c r="S10" s="133">
        <f>((V10-R10)/4)+R10</f>
        <v>792166.10000000009</v>
      </c>
      <c r="T10" s="133">
        <f>((V10-S10)/3)+S10</f>
        <v>798218.4</v>
      </c>
      <c r="U10" s="133">
        <f>((V10-T10)/2)+T10</f>
        <v>804270.7</v>
      </c>
      <c r="V10" s="37">
        <v>810323</v>
      </c>
      <c r="W10" s="80" t="s">
        <v>210</v>
      </c>
    </row>
    <row r="11" spans="1:23" s="28" customFormat="1">
      <c r="A11" s="111" t="s">
        <v>208</v>
      </c>
      <c r="B11" s="111">
        <v>514532</v>
      </c>
      <c r="C11" s="133">
        <f>((L11-B11)/10)+B11</f>
        <v>527786.19999999995</v>
      </c>
      <c r="D11" s="133">
        <f>((L11-C11)/9)+C11</f>
        <v>541040.39999999991</v>
      </c>
      <c r="E11" s="133">
        <f>((L11-D11)/8)+D11</f>
        <v>554294.59999999986</v>
      </c>
      <c r="F11" s="133">
        <f>((L11-E11)/7)+E11</f>
        <v>567548.79999999993</v>
      </c>
      <c r="G11" s="133">
        <f>((L11-F11)/6)+F11</f>
        <v>580803</v>
      </c>
      <c r="H11" s="133">
        <f>((L11-G11)/5)+G11</f>
        <v>594057.19999999995</v>
      </c>
      <c r="I11" s="133">
        <f>((L11-H11)/4)+H11</f>
        <v>607311.39999999991</v>
      </c>
      <c r="J11" s="133">
        <f>((L11-I11)/3)+I11</f>
        <v>620565.6</v>
      </c>
      <c r="K11" s="133">
        <f>((L11-J11)/2)+J11</f>
        <v>633819.80000000005</v>
      </c>
      <c r="L11" s="28">
        <v>647074</v>
      </c>
      <c r="M11" s="133">
        <f>((V11-L11)/10)+L11</f>
        <v>652371.19999999995</v>
      </c>
      <c r="N11" s="133">
        <f>((V11-M11)/9)+M11</f>
        <v>657668.39999999991</v>
      </c>
      <c r="O11" s="133">
        <f>((V11-N11)/8)+N11</f>
        <v>662965.59999999986</v>
      </c>
      <c r="P11" s="133">
        <f>((V11-O11)/7)+O11</f>
        <v>668262.79999999993</v>
      </c>
      <c r="Q11" s="133">
        <f>((V11-P11)/6)+P11</f>
        <v>673560</v>
      </c>
      <c r="R11" s="133">
        <f>((V11-Q11)/5)+Q11</f>
        <v>678857.2</v>
      </c>
      <c r="S11" s="133">
        <f>((V11-R11)/4)+R11</f>
        <v>684154.39999999991</v>
      </c>
      <c r="T11" s="133">
        <f>((V11-S11)/3)+S11</f>
        <v>689451.6</v>
      </c>
      <c r="U11" s="133">
        <f>((V11-T11)/2)+T11</f>
        <v>694748.8</v>
      </c>
      <c r="V11">
        <v>700046</v>
      </c>
      <c r="W11" s="80" t="s">
        <v>210</v>
      </c>
    </row>
    <row r="12" spans="1:23" s="28" customFormat="1">
      <c r="A12" s="111" t="s">
        <v>209</v>
      </c>
      <c r="B12" s="82">
        <f>B10+B11</f>
        <v>1148635</v>
      </c>
      <c r="C12" s="82">
        <f>C10+C11</f>
        <v>1173458.8999999999</v>
      </c>
      <c r="D12" s="82">
        <f>D10+D11</f>
        <v>1198282.7999999998</v>
      </c>
      <c r="E12" s="82">
        <f t="shared" ref="E12:V12" si="2">E10+E11</f>
        <v>1223106.6999999997</v>
      </c>
      <c r="F12" s="82">
        <f t="shared" si="2"/>
        <v>1247930.5999999999</v>
      </c>
      <c r="G12" s="82">
        <f t="shared" si="2"/>
        <v>1272754.5</v>
      </c>
      <c r="H12" s="82">
        <f t="shared" si="2"/>
        <v>1297578.3999999999</v>
      </c>
      <c r="I12" s="82">
        <f t="shared" si="2"/>
        <v>1322402.2999999998</v>
      </c>
      <c r="J12" s="82">
        <f t="shared" si="2"/>
        <v>1347226.2</v>
      </c>
      <c r="K12" s="82">
        <f t="shared" si="2"/>
        <v>1372050.1</v>
      </c>
      <c r="L12" s="82">
        <f t="shared" si="2"/>
        <v>1396874</v>
      </c>
      <c r="M12" s="82">
        <f t="shared" si="2"/>
        <v>1408223.5</v>
      </c>
      <c r="N12" s="82">
        <f t="shared" si="2"/>
        <v>1419573</v>
      </c>
      <c r="O12" s="82">
        <f t="shared" si="2"/>
        <v>1430922.5</v>
      </c>
      <c r="P12" s="82">
        <f t="shared" si="2"/>
        <v>1442272</v>
      </c>
      <c r="Q12" s="82">
        <f t="shared" si="2"/>
        <v>1453621.5</v>
      </c>
      <c r="R12" s="82">
        <f t="shared" si="2"/>
        <v>1464971</v>
      </c>
      <c r="S12" s="82">
        <f t="shared" si="2"/>
        <v>1476320.5</v>
      </c>
      <c r="T12" s="82">
        <f t="shared" si="2"/>
        <v>1487670</v>
      </c>
      <c r="U12" s="82">
        <f t="shared" si="2"/>
        <v>1499019.5</v>
      </c>
      <c r="V12" s="82">
        <f t="shared" si="2"/>
        <v>1510369</v>
      </c>
      <c r="W12" s="80"/>
    </row>
    <row r="13" spans="1:23" s="28" customFormat="1">
      <c r="A13" s="111"/>
      <c r="B13" s="111"/>
      <c r="C13" s="111"/>
      <c r="D13" s="82"/>
      <c r="E13" s="82"/>
      <c r="F13" s="82"/>
      <c r="G13" s="82"/>
      <c r="H13" s="82"/>
      <c r="I13" s="82"/>
      <c r="J13" s="82"/>
      <c r="K13" s="82"/>
      <c r="L13" s="82"/>
      <c r="M13" s="82"/>
      <c r="N13" s="82"/>
      <c r="O13" s="82"/>
      <c r="P13" s="82"/>
      <c r="Q13" s="82"/>
      <c r="R13" s="82"/>
      <c r="S13" s="82"/>
      <c r="T13" s="82"/>
      <c r="U13" s="82"/>
      <c r="V13" s="82"/>
      <c r="W13" s="80"/>
    </row>
    <row r="14" spans="1:23" s="28" customFormat="1">
      <c r="A14" s="111" t="s">
        <v>260</v>
      </c>
      <c r="B14" s="157">
        <f>B10/B12</f>
        <v>0.55204917140780141</v>
      </c>
      <c r="C14" s="157">
        <f>C10/C12</f>
        <v>0.55023034892828371</v>
      </c>
      <c r="D14" s="157">
        <f>D10/D12</f>
        <v>0.54848688473205154</v>
      </c>
      <c r="E14" s="157">
        <f t="shared" ref="E14:V14" si="3">E10/E12</f>
        <v>0.5468141904545204</v>
      </c>
      <c r="F14" s="157">
        <f t="shared" si="3"/>
        <v>0.54520804281904778</v>
      </c>
      <c r="G14" s="157">
        <f t="shared" si="3"/>
        <v>0.5436645480334189</v>
      </c>
      <c r="H14" s="157">
        <f t="shared" si="3"/>
        <v>0.54218011027310564</v>
      </c>
      <c r="I14" s="157">
        <f t="shared" si="3"/>
        <v>0.54075140371428576</v>
      </c>
      <c r="J14" s="157">
        <f t="shared" si="3"/>
        <v>0.53937534765876738</v>
      </c>
      <c r="K14" s="157">
        <f t="shared" si="3"/>
        <v>0.53804908435923726</v>
      </c>
      <c r="L14" s="157">
        <f t="shared" si="3"/>
        <v>0.53676995920891934</v>
      </c>
      <c r="M14" s="157">
        <f t="shared" si="3"/>
        <v>0.53674171749015698</v>
      </c>
      <c r="N14" s="157">
        <f t="shared" si="3"/>
        <v>0.53671392735702927</v>
      </c>
      <c r="O14" s="157">
        <f t="shared" si="3"/>
        <v>0.53668657806415099</v>
      </c>
      <c r="P14" s="157">
        <f t="shared" si="3"/>
        <v>0.53665965920436653</v>
      </c>
      <c r="Q14" s="157">
        <f t="shared" si="3"/>
        <v>0.53663316069554556</v>
      </c>
      <c r="R14" s="157">
        <f t="shared" si="3"/>
        <v>0.53660707276799335</v>
      </c>
      <c r="S14" s="157">
        <f t="shared" si="3"/>
        <v>0.53658138595244065</v>
      </c>
      <c r="T14" s="157">
        <f t="shared" si="3"/>
        <v>0.53655609106858382</v>
      </c>
      <c r="U14" s="157">
        <f t="shared" si="3"/>
        <v>0.53653117921414628</v>
      </c>
      <c r="V14" s="157">
        <f t="shared" si="3"/>
        <v>0.53650664175443219</v>
      </c>
      <c r="W14" s="80"/>
    </row>
    <row r="15" spans="1:23" s="28" customFormat="1">
      <c r="A15" s="4"/>
      <c r="B15" s="4"/>
      <c r="C15" s="4"/>
      <c r="W15" s="80"/>
    </row>
    <row r="16" spans="1:23" s="28" customFormat="1">
      <c r="A16" s="111" t="s">
        <v>202</v>
      </c>
      <c r="B16" s="111"/>
      <c r="C16" s="28">
        <f>(130750000+182292142)/(130750000+182292142+274767272)</f>
        <v>0.53255721079689955</v>
      </c>
      <c r="D16" s="28">
        <f>(130750000+182292142)/(130750000+182292142+274767272)</f>
        <v>0.53255721079689955</v>
      </c>
      <c r="E16" s="28">
        <f>D16</f>
        <v>0.53255721079689955</v>
      </c>
      <c r="F16" s="28">
        <f t="shared" ref="F16:V16" si="4">E16</f>
        <v>0.53255721079689955</v>
      </c>
      <c r="G16" s="28">
        <f t="shared" si="4"/>
        <v>0.53255721079689955</v>
      </c>
      <c r="H16" s="28">
        <f t="shared" si="4"/>
        <v>0.53255721079689955</v>
      </c>
      <c r="I16" s="28">
        <f t="shared" si="4"/>
        <v>0.53255721079689955</v>
      </c>
      <c r="J16" s="28">
        <f t="shared" si="4"/>
        <v>0.53255721079689955</v>
      </c>
      <c r="K16" s="28">
        <f t="shared" si="4"/>
        <v>0.53255721079689955</v>
      </c>
      <c r="L16" s="28">
        <f t="shared" si="4"/>
        <v>0.53255721079689955</v>
      </c>
      <c r="M16" s="28">
        <f t="shared" si="4"/>
        <v>0.53255721079689955</v>
      </c>
      <c r="N16" s="28">
        <f t="shared" si="4"/>
        <v>0.53255721079689955</v>
      </c>
      <c r="O16" s="28">
        <f t="shared" si="4"/>
        <v>0.53255721079689955</v>
      </c>
      <c r="P16" s="28">
        <f t="shared" si="4"/>
        <v>0.53255721079689955</v>
      </c>
      <c r="Q16" s="28">
        <f t="shared" si="4"/>
        <v>0.53255721079689955</v>
      </c>
      <c r="R16" s="28">
        <f t="shared" si="4"/>
        <v>0.53255721079689955</v>
      </c>
      <c r="S16" s="28">
        <f t="shared" si="4"/>
        <v>0.53255721079689955</v>
      </c>
      <c r="T16" s="28">
        <f t="shared" si="4"/>
        <v>0.53255721079689955</v>
      </c>
      <c r="U16" s="28">
        <f t="shared" si="4"/>
        <v>0.53255721079689955</v>
      </c>
      <c r="V16" s="28">
        <f t="shared" si="4"/>
        <v>0.53255721079689955</v>
      </c>
      <c r="W16" s="131" t="s">
        <v>313</v>
      </c>
    </row>
    <row r="17" spans="1:23" s="28" customFormat="1">
      <c r="A17" s="111" t="s">
        <v>203</v>
      </c>
      <c r="B17" s="111"/>
      <c r="C17" s="28">
        <f>274767272/(130750000+182292142+274767272)</f>
        <v>0.46744278920310045</v>
      </c>
      <c r="D17" s="28">
        <f>274767272/(130750000+182292142+274767272)</f>
        <v>0.46744278920310045</v>
      </c>
      <c r="E17" s="28">
        <f>D17</f>
        <v>0.46744278920310045</v>
      </c>
      <c r="F17" s="28">
        <f t="shared" ref="F17:V17" si="5">E17</f>
        <v>0.46744278920310045</v>
      </c>
      <c r="G17" s="28">
        <f t="shared" si="5"/>
        <v>0.46744278920310045</v>
      </c>
      <c r="H17" s="28">
        <f t="shared" si="5"/>
        <v>0.46744278920310045</v>
      </c>
      <c r="I17" s="28">
        <f t="shared" si="5"/>
        <v>0.46744278920310045</v>
      </c>
      <c r="J17" s="28">
        <f t="shared" si="5"/>
        <v>0.46744278920310045</v>
      </c>
      <c r="K17" s="28">
        <f t="shared" si="5"/>
        <v>0.46744278920310045</v>
      </c>
      <c r="L17" s="28">
        <f t="shared" si="5"/>
        <v>0.46744278920310045</v>
      </c>
      <c r="M17" s="28">
        <f t="shared" si="5"/>
        <v>0.46744278920310045</v>
      </c>
      <c r="N17" s="28">
        <f t="shared" si="5"/>
        <v>0.46744278920310045</v>
      </c>
      <c r="O17" s="28">
        <f t="shared" si="5"/>
        <v>0.46744278920310045</v>
      </c>
      <c r="P17" s="28">
        <f t="shared" si="5"/>
        <v>0.46744278920310045</v>
      </c>
      <c r="Q17" s="28">
        <f t="shared" si="5"/>
        <v>0.46744278920310045</v>
      </c>
      <c r="R17" s="28">
        <f t="shared" si="5"/>
        <v>0.46744278920310045</v>
      </c>
      <c r="S17" s="28">
        <f t="shared" si="5"/>
        <v>0.46744278920310045</v>
      </c>
      <c r="T17" s="28">
        <f t="shared" si="5"/>
        <v>0.46744278920310045</v>
      </c>
      <c r="U17" s="28">
        <f t="shared" si="5"/>
        <v>0.46744278920310045</v>
      </c>
      <c r="V17" s="28">
        <f t="shared" si="5"/>
        <v>0.46744278920310045</v>
      </c>
      <c r="W17" s="131" t="s">
        <v>313</v>
      </c>
    </row>
    <row r="18" spans="1:23" s="28" customFormat="1">
      <c r="A18" s="111" t="s">
        <v>204</v>
      </c>
      <c r="B18" s="111"/>
      <c r="C18" s="28">
        <v>33</v>
      </c>
      <c r="D18" s="28">
        <v>33</v>
      </c>
      <c r="E18" s="28">
        <f>D18</f>
        <v>33</v>
      </c>
      <c r="F18" s="28">
        <f t="shared" ref="F18:V18" si="6">E18</f>
        <v>33</v>
      </c>
      <c r="G18" s="28">
        <f t="shared" si="6"/>
        <v>33</v>
      </c>
      <c r="H18" s="28">
        <f t="shared" si="6"/>
        <v>33</v>
      </c>
      <c r="I18" s="28">
        <f t="shared" si="6"/>
        <v>33</v>
      </c>
      <c r="J18" s="28">
        <f t="shared" si="6"/>
        <v>33</v>
      </c>
      <c r="K18" s="28">
        <f t="shared" si="6"/>
        <v>33</v>
      </c>
      <c r="L18" s="28">
        <f t="shared" si="6"/>
        <v>33</v>
      </c>
      <c r="M18" s="28">
        <f t="shared" si="6"/>
        <v>33</v>
      </c>
      <c r="N18" s="28">
        <f t="shared" si="6"/>
        <v>33</v>
      </c>
      <c r="O18" s="28">
        <f t="shared" si="6"/>
        <v>33</v>
      </c>
      <c r="P18" s="28">
        <f t="shared" si="6"/>
        <v>33</v>
      </c>
      <c r="Q18" s="28">
        <f t="shared" si="6"/>
        <v>33</v>
      </c>
      <c r="R18" s="28">
        <f t="shared" si="6"/>
        <v>33</v>
      </c>
      <c r="S18" s="28">
        <f t="shared" si="6"/>
        <v>33</v>
      </c>
      <c r="T18" s="28">
        <f t="shared" si="6"/>
        <v>33</v>
      </c>
      <c r="U18" s="28">
        <f t="shared" si="6"/>
        <v>33</v>
      </c>
      <c r="V18" s="28">
        <f t="shared" si="6"/>
        <v>33</v>
      </c>
      <c r="W18" s="80" t="s">
        <v>314</v>
      </c>
    </row>
    <row r="19" spans="1:23" s="28" customFormat="1">
      <c r="A19" s="111" t="s">
        <v>205</v>
      </c>
      <c r="B19" s="111"/>
      <c r="C19" s="28">
        <v>12</v>
      </c>
      <c r="D19" s="28">
        <v>12</v>
      </c>
      <c r="E19" s="28">
        <f>D19</f>
        <v>12</v>
      </c>
      <c r="F19" s="28">
        <f t="shared" ref="F19:V19" si="7">E19</f>
        <v>12</v>
      </c>
      <c r="G19" s="28">
        <f t="shared" si="7"/>
        <v>12</v>
      </c>
      <c r="H19" s="28">
        <f t="shared" si="7"/>
        <v>12</v>
      </c>
      <c r="I19" s="28">
        <f t="shared" si="7"/>
        <v>12</v>
      </c>
      <c r="J19" s="28">
        <f t="shared" si="7"/>
        <v>12</v>
      </c>
      <c r="K19" s="28">
        <f t="shared" si="7"/>
        <v>12</v>
      </c>
      <c r="L19" s="28">
        <f t="shared" si="7"/>
        <v>12</v>
      </c>
      <c r="M19" s="28">
        <f t="shared" si="7"/>
        <v>12</v>
      </c>
      <c r="N19" s="28">
        <f t="shared" si="7"/>
        <v>12</v>
      </c>
      <c r="O19" s="28">
        <f t="shared" si="7"/>
        <v>12</v>
      </c>
      <c r="P19" s="28">
        <f t="shared" si="7"/>
        <v>12</v>
      </c>
      <c r="Q19" s="28">
        <f t="shared" si="7"/>
        <v>12</v>
      </c>
      <c r="R19" s="28">
        <f t="shared" si="7"/>
        <v>12</v>
      </c>
      <c r="S19" s="28">
        <f t="shared" si="7"/>
        <v>12</v>
      </c>
      <c r="T19" s="28">
        <f t="shared" si="7"/>
        <v>12</v>
      </c>
      <c r="U19" s="28">
        <f t="shared" si="7"/>
        <v>12</v>
      </c>
      <c r="V19" s="28">
        <f t="shared" si="7"/>
        <v>12</v>
      </c>
      <c r="W19" s="80" t="s">
        <v>315</v>
      </c>
    </row>
    <row r="20" spans="1:23" s="28" customFormat="1">
      <c r="A20" s="4"/>
      <c r="B20" s="4"/>
      <c r="C20" s="4"/>
      <c r="W20" s="80"/>
    </row>
    <row r="21" spans="1:23" s="28" customFormat="1">
      <c r="A21" s="28" t="s">
        <v>201</v>
      </c>
      <c r="C21" s="28">
        <v>1.5</v>
      </c>
      <c r="D21" s="28">
        <v>1.5</v>
      </c>
      <c r="E21" s="28">
        <v>1.5</v>
      </c>
      <c r="F21" s="28">
        <v>1.5</v>
      </c>
      <c r="G21" s="28">
        <v>1.5</v>
      </c>
      <c r="H21" s="28">
        <v>1.5</v>
      </c>
      <c r="I21" s="28">
        <v>1.5</v>
      </c>
      <c r="J21" s="28">
        <v>1.5</v>
      </c>
      <c r="K21" s="28">
        <v>1.5</v>
      </c>
      <c r="L21" s="28">
        <v>1.5</v>
      </c>
      <c r="M21" s="28">
        <v>1.5</v>
      </c>
      <c r="N21" s="28">
        <v>1.5</v>
      </c>
      <c r="O21" s="28">
        <v>1.5</v>
      </c>
      <c r="P21" s="28">
        <v>1.5</v>
      </c>
      <c r="Q21" s="28">
        <v>1.5</v>
      </c>
      <c r="R21" s="28">
        <v>1.5</v>
      </c>
      <c r="S21" s="28">
        <v>1.5</v>
      </c>
      <c r="T21" s="28">
        <v>1.5</v>
      </c>
      <c r="U21" s="28">
        <v>1.5</v>
      </c>
      <c r="V21" s="28">
        <v>1.5</v>
      </c>
      <c r="W21" s="80" t="s">
        <v>312</v>
      </c>
    </row>
    <row r="22" spans="1:23" s="28" customFormat="1">
      <c r="A22" s="28" t="s">
        <v>148</v>
      </c>
      <c r="C22" s="28">
        <f>(C18*C17)+(C19*C16)</f>
        <v>21.816298573265108</v>
      </c>
      <c r="D22" s="28">
        <f>(D18*D17)+(D19*D16)</f>
        <v>21.816298573265108</v>
      </c>
      <c r="E22" s="28">
        <f>(E18*E17)+(E19*E16)</f>
        <v>21.816298573265108</v>
      </c>
      <c r="F22" s="28">
        <f t="shared" ref="F22:V22" si="8">(F18*F17)+(F19*F16)</f>
        <v>21.816298573265108</v>
      </c>
      <c r="G22" s="28">
        <f t="shared" si="8"/>
        <v>21.816298573265108</v>
      </c>
      <c r="H22" s="28">
        <f t="shared" si="8"/>
        <v>21.816298573265108</v>
      </c>
      <c r="I22" s="28">
        <f t="shared" si="8"/>
        <v>21.816298573265108</v>
      </c>
      <c r="J22" s="28">
        <f t="shared" si="8"/>
        <v>21.816298573265108</v>
      </c>
      <c r="K22" s="28">
        <f t="shared" si="8"/>
        <v>21.816298573265108</v>
      </c>
      <c r="L22" s="28">
        <f t="shared" si="8"/>
        <v>21.816298573265108</v>
      </c>
      <c r="M22" s="28">
        <f t="shared" si="8"/>
        <v>21.816298573265108</v>
      </c>
      <c r="N22" s="28">
        <f t="shared" si="8"/>
        <v>21.816298573265108</v>
      </c>
      <c r="O22" s="28">
        <f t="shared" si="8"/>
        <v>21.816298573265108</v>
      </c>
      <c r="P22" s="28">
        <f t="shared" si="8"/>
        <v>21.816298573265108</v>
      </c>
      <c r="Q22" s="28">
        <f t="shared" si="8"/>
        <v>21.816298573265108</v>
      </c>
      <c r="R22" s="28">
        <f t="shared" si="8"/>
        <v>21.816298573265108</v>
      </c>
      <c r="S22" s="28">
        <f t="shared" si="8"/>
        <v>21.816298573265108</v>
      </c>
      <c r="T22" s="28">
        <f t="shared" si="8"/>
        <v>21.816298573265108</v>
      </c>
      <c r="U22" s="28">
        <f t="shared" si="8"/>
        <v>21.816298573265108</v>
      </c>
      <c r="V22" s="28">
        <f t="shared" si="8"/>
        <v>21.816298573265108</v>
      </c>
      <c r="W22" s="80"/>
    </row>
    <row r="23" spans="1:23">
      <c r="A23" t="s">
        <v>415</v>
      </c>
      <c r="B23" s="28"/>
      <c r="C23">
        <f>(C21/C22)+(5/60)</f>
        <v>0.15208926802878997</v>
      </c>
      <c r="D23">
        <f t="shared" ref="D23:V23" si="9">(D21/D22)+(5/60)</f>
        <v>0.15208926802878997</v>
      </c>
      <c r="E23">
        <f t="shared" si="9"/>
        <v>0.15208926802878997</v>
      </c>
      <c r="F23">
        <f t="shared" si="9"/>
        <v>0.15208926802878997</v>
      </c>
      <c r="G23">
        <f t="shared" si="9"/>
        <v>0.15208926802878997</v>
      </c>
      <c r="H23">
        <f t="shared" si="9"/>
        <v>0.15208926802878997</v>
      </c>
      <c r="I23">
        <f t="shared" si="9"/>
        <v>0.15208926802878997</v>
      </c>
      <c r="J23">
        <f t="shared" si="9"/>
        <v>0.15208926802878997</v>
      </c>
      <c r="K23">
        <f t="shared" si="9"/>
        <v>0.15208926802878997</v>
      </c>
      <c r="L23">
        <f t="shared" si="9"/>
        <v>0.15208926802878997</v>
      </c>
      <c r="M23">
        <f t="shared" si="9"/>
        <v>0.15208926802878997</v>
      </c>
      <c r="N23">
        <f t="shared" si="9"/>
        <v>0.15208926802878997</v>
      </c>
      <c r="O23">
        <f t="shared" si="9"/>
        <v>0.15208926802878997</v>
      </c>
      <c r="P23">
        <f t="shared" si="9"/>
        <v>0.15208926802878997</v>
      </c>
      <c r="Q23">
        <f t="shared" si="9"/>
        <v>0.15208926802878997</v>
      </c>
      <c r="R23">
        <f t="shared" si="9"/>
        <v>0.15208926802878997</v>
      </c>
      <c r="S23">
        <f t="shared" si="9"/>
        <v>0.15208926802878997</v>
      </c>
      <c r="T23">
        <f t="shared" si="9"/>
        <v>0.15208926802878997</v>
      </c>
      <c r="U23">
        <f t="shared" si="9"/>
        <v>0.15208926802878997</v>
      </c>
      <c r="V23">
        <f t="shared" si="9"/>
        <v>0.15208926802878997</v>
      </c>
    </row>
    <row r="24" spans="1:23">
      <c r="A24" s="28" t="s">
        <v>194</v>
      </c>
      <c r="B24" s="28"/>
      <c r="C24" s="128">
        <f>'Price Assumptions'!$B$5</f>
        <v>13.91</v>
      </c>
      <c r="D24" s="128">
        <f>'Price Assumptions'!$B$5</f>
        <v>13.91</v>
      </c>
      <c r="E24" s="128">
        <f>'Price Assumptions'!$B$5</f>
        <v>13.91</v>
      </c>
      <c r="F24" s="128">
        <f>'Price Assumptions'!$B$5</f>
        <v>13.91</v>
      </c>
      <c r="G24" s="128">
        <f>'Price Assumptions'!$B$5</f>
        <v>13.91</v>
      </c>
      <c r="H24" s="128">
        <f>'Price Assumptions'!$B$5</f>
        <v>13.91</v>
      </c>
      <c r="I24" s="128">
        <f>'Price Assumptions'!$B$5</f>
        <v>13.91</v>
      </c>
      <c r="J24" s="128">
        <f>'Price Assumptions'!$B$5</f>
        <v>13.91</v>
      </c>
      <c r="K24" s="128">
        <f>'Price Assumptions'!$B$5</f>
        <v>13.91</v>
      </c>
      <c r="L24" s="128">
        <f>'Price Assumptions'!$B$5</f>
        <v>13.91</v>
      </c>
      <c r="M24" s="128">
        <f>'Price Assumptions'!$B$5</f>
        <v>13.91</v>
      </c>
      <c r="N24" s="128">
        <f>'Price Assumptions'!$B$5</f>
        <v>13.91</v>
      </c>
      <c r="O24" s="128">
        <f>'Price Assumptions'!$B$5</f>
        <v>13.91</v>
      </c>
      <c r="P24" s="128">
        <f>'Price Assumptions'!$B$5</f>
        <v>13.91</v>
      </c>
      <c r="Q24" s="128">
        <f>'Price Assumptions'!$B$5</f>
        <v>13.91</v>
      </c>
      <c r="R24" s="128">
        <f>'Price Assumptions'!$B$5</f>
        <v>13.91</v>
      </c>
      <c r="S24" s="128">
        <f>'Price Assumptions'!$B$5</f>
        <v>13.91</v>
      </c>
      <c r="T24" s="128">
        <f>'Price Assumptions'!$B$5</f>
        <v>13.91</v>
      </c>
      <c r="U24" s="128">
        <f>'Price Assumptions'!$B$5</f>
        <v>13.91</v>
      </c>
      <c r="V24" s="128">
        <f>'Price Assumptions'!$B$5</f>
        <v>13.91</v>
      </c>
    </row>
    <row r="25" spans="1:23">
      <c r="A25" s="28" t="s">
        <v>151</v>
      </c>
      <c r="B25" s="28"/>
      <c r="C25" s="128">
        <f>C23*C24</f>
        <v>2.1155617182804685</v>
      </c>
      <c r="D25" s="128">
        <f t="shared" ref="D25:V25" si="10">D23*D24</f>
        <v>2.1155617182804685</v>
      </c>
      <c r="E25" s="128">
        <f t="shared" si="10"/>
        <v>2.1155617182804685</v>
      </c>
      <c r="F25" s="128">
        <f t="shared" si="10"/>
        <v>2.1155617182804685</v>
      </c>
      <c r="G25" s="128">
        <f t="shared" si="10"/>
        <v>2.1155617182804685</v>
      </c>
      <c r="H25" s="128">
        <f t="shared" si="10"/>
        <v>2.1155617182804685</v>
      </c>
      <c r="I25" s="128">
        <f t="shared" si="10"/>
        <v>2.1155617182804685</v>
      </c>
      <c r="J25" s="128">
        <f t="shared" si="10"/>
        <v>2.1155617182804685</v>
      </c>
      <c r="K25" s="128">
        <f t="shared" si="10"/>
        <v>2.1155617182804685</v>
      </c>
      <c r="L25" s="128">
        <f t="shared" si="10"/>
        <v>2.1155617182804685</v>
      </c>
      <c r="M25" s="128">
        <f t="shared" si="10"/>
        <v>2.1155617182804685</v>
      </c>
      <c r="N25" s="128">
        <f t="shared" si="10"/>
        <v>2.1155617182804685</v>
      </c>
      <c r="O25" s="128">
        <f t="shared" si="10"/>
        <v>2.1155617182804685</v>
      </c>
      <c r="P25" s="128">
        <f t="shared" si="10"/>
        <v>2.1155617182804685</v>
      </c>
      <c r="Q25" s="128">
        <f t="shared" si="10"/>
        <v>2.1155617182804685</v>
      </c>
      <c r="R25" s="128">
        <f t="shared" si="10"/>
        <v>2.1155617182804685</v>
      </c>
      <c r="S25" s="128">
        <f t="shared" si="10"/>
        <v>2.1155617182804685</v>
      </c>
      <c r="T25" s="128">
        <f t="shared" si="10"/>
        <v>2.1155617182804685</v>
      </c>
      <c r="U25" s="128">
        <f t="shared" si="10"/>
        <v>2.1155617182804685</v>
      </c>
      <c r="V25" s="128">
        <f t="shared" si="10"/>
        <v>2.1155617182804685</v>
      </c>
    </row>
    <row r="26" spans="1:23">
      <c r="A26" s="28" t="s">
        <v>152</v>
      </c>
      <c r="B26" s="28"/>
      <c r="C26" s="107">
        <f>'Price Assumptions'!$B$21</f>
        <v>1.3960275535459208</v>
      </c>
      <c r="D26" s="107">
        <f>'Price Assumptions'!$B$21</f>
        <v>1.3960275535459208</v>
      </c>
      <c r="E26" s="107">
        <f>'Price Assumptions'!$B$21</f>
        <v>1.3960275535459208</v>
      </c>
      <c r="F26" s="107">
        <f>'Price Assumptions'!$B$21</f>
        <v>1.3960275535459208</v>
      </c>
      <c r="G26" s="107">
        <f>'Price Assumptions'!$B$21</f>
        <v>1.3960275535459208</v>
      </c>
      <c r="H26" s="107">
        <f>'Price Assumptions'!$B$21</f>
        <v>1.3960275535459208</v>
      </c>
      <c r="I26" s="107">
        <f>'Price Assumptions'!$B$21</f>
        <v>1.3960275535459208</v>
      </c>
      <c r="J26" s="107">
        <f>'Price Assumptions'!$B$21</f>
        <v>1.3960275535459208</v>
      </c>
      <c r="K26" s="107">
        <f>'Price Assumptions'!$B$21</f>
        <v>1.3960275535459208</v>
      </c>
      <c r="L26" s="107">
        <f>'Price Assumptions'!$B$21</f>
        <v>1.3960275535459208</v>
      </c>
      <c r="M26" s="107">
        <f>'Price Assumptions'!$B$21</f>
        <v>1.3960275535459208</v>
      </c>
      <c r="N26" s="107">
        <f>'Price Assumptions'!$B$21</f>
        <v>1.3960275535459208</v>
      </c>
      <c r="O26" s="107">
        <f>'Price Assumptions'!$B$21</f>
        <v>1.3960275535459208</v>
      </c>
      <c r="P26" s="107">
        <f>'Price Assumptions'!$B$21</f>
        <v>1.3960275535459208</v>
      </c>
      <c r="Q26" s="107">
        <f>'Price Assumptions'!$B$21</f>
        <v>1.3960275535459208</v>
      </c>
      <c r="R26" s="107">
        <f>'Price Assumptions'!$B$21</f>
        <v>1.3960275535459208</v>
      </c>
      <c r="S26" s="107">
        <f>'Price Assumptions'!$B$21</f>
        <v>1.3960275535459208</v>
      </c>
      <c r="T26" s="107">
        <f>'Price Assumptions'!$B$21</f>
        <v>1.3960275535459208</v>
      </c>
      <c r="U26" s="107">
        <f>'Price Assumptions'!$B$21</f>
        <v>1.3960275535459208</v>
      </c>
      <c r="V26" s="107">
        <f>'Price Assumptions'!$B$21</f>
        <v>1.3960275535459208</v>
      </c>
    </row>
    <row r="28" spans="1:23" s="28" customFormat="1">
      <c r="A28" t="s">
        <v>201</v>
      </c>
      <c r="C28" s="28">
        <v>6.5</v>
      </c>
      <c r="D28" s="28">
        <v>6.5</v>
      </c>
      <c r="E28" s="28">
        <v>6.5</v>
      </c>
      <c r="F28" s="28">
        <v>6.5</v>
      </c>
      <c r="G28" s="28">
        <v>6.5</v>
      </c>
      <c r="H28" s="28">
        <v>6.5</v>
      </c>
      <c r="I28" s="28">
        <v>6.5</v>
      </c>
      <c r="J28" s="28">
        <v>6.5</v>
      </c>
      <c r="K28" s="28">
        <v>6.5</v>
      </c>
      <c r="L28" s="28">
        <v>6.5</v>
      </c>
      <c r="M28" s="28">
        <v>6.5</v>
      </c>
      <c r="N28" s="28">
        <v>6.5</v>
      </c>
      <c r="O28" s="28">
        <v>6.5</v>
      </c>
      <c r="P28" s="28">
        <v>6.5</v>
      </c>
      <c r="Q28" s="28">
        <v>6.5</v>
      </c>
      <c r="R28" s="28">
        <v>6.5</v>
      </c>
      <c r="S28" s="28">
        <v>6.5</v>
      </c>
      <c r="T28" s="28">
        <v>6.5</v>
      </c>
      <c r="U28" s="28">
        <v>6.5</v>
      </c>
      <c r="V28" s="28">
        <v>6.5</v>
      </c>
      <c r="W28" s="80" t="s">
        <v>312</v>
      </c>
    </row>
    <row r="29" spans="1:23" s="28" customFormat="1">
      <c r="A29" s="28" t="s">
        <v>148</v>
      </c>
      <c r="C29" s="28">
        <f>(C18*C17)+(C19*C16)</f>
        <v>21.816298573265108</v>
      </c>
      <c r="D29" s="28">
        <f>(D18*D17)+(D19*D16)</f>
        <v>21.816298573265108</v>
      </c>
      <c r="E29" s="28">
        <f>(E18*E17)+(E19*E16)</f>
        <v>21.816298573265108</v>
      </c>
      <c r="F29" s="28">
        <f t="shared" ref="F29:V29" si="11">(F18*F17)+(F19*F16)</f>
        <v>21.816298573265108</v>
      </c>
      <c r="G29" s="28">
        <f t="shared" si="11"/>
        <v>21.816298573265108</v>
      </c>
      <c r="H29" s="28">
        <f t="shared" si="11"/>
        <v>21.816298573265108</v>
      </c>
      <c r="I29" s="28">
        <f t="shared" si="11"/>
        <v>21.816298573265108</v>
      </c>
      <c r="J29" s="28">
        <f t="shared" si="11"/>
        <v>21.816298573265108</v>
      </c>
      <c r="K29" s="28">
        <f t="shared" si="11"/>
        <v>21.816298573265108</v>
      </c>
      <c r="L29" s="28">
        <f t="shared" si="11"/>
        <v>21.816298573265108</v>
      </c>
      <c r="M29" s="28">
        <f t="shared" si="11"/>
        <v>21.816298573265108</v>
      </c>
      <c r="N29" s="28">
        <f t="shared" si="11"/>
        <v>21.816298573265108</v>
      </c>
      <c r="O29" s="28">
        <f t="shared" si="11"/>
        <v>21.816298573265108</v>
      </c>
      <c r="P29" s="28">
        <f t="shared" si="11"/>
        <v>21.816298573265108</v>
      </c>
      <c r="Q29" s="28">
        <f t="shared" si="11"/>
        <v>21.816298573265108</v>
      </c>
      <c r="R29" s="28">
        <f t="shared" si="11"/>
        <v>21.816298573265108</v>
      </c>
      <c r="S29" s="28">
        <f t="shared" si="11"/>
        <v>21.816298573265108</v>
      </c>
      <c r="T29" s="28">
        <f t="shared" si="11"/>
        <v>21.816298573265108</v>
      </c>
      <c r="U29" s="28">
        <f t="shared" si="11"/>
        <v>21.816298573265108</v>
      </c>
      <c r="V29" s="28">
        <f t="shared" si="11"/>
        <v>21.816298573265108</v>
      </c>
      <c r="W29" s="80"/>
    </row>
    <row r="30" spans="1:23">
      <c r="A30" t="s">
        <v>415</v>
      </c>
      <c r="B30" s="28"/>
      <c r="C30">
        <f>(C28/C29)+(5/60)</f>
        <v>0.38127571701364549</v>
      </c>
      <c r="D30">
        <f t="shared" ref="D30:V30" si="12">(D28/D29)+(5/60)</f>
        <v>0.38127571701364549</v>
      </c>
      <c r="E30">
        <f t="shared" si="12"/>
        <v>0.38127571701364549</v>
      </c>
      <c r="F30">
        <f t="shared" si="12"/>
        <v>0.38127571701364549</v>
      </c>
      <c r="G30">
        <f t="shared" si="12"/>
        <v>0.38127571701364549</v>
      </c>
      <c r="H30">
        <f t="shared" si="12"/>
        <v>0.38127571701364549</v>
      </c>
      <c r="I30">
        <f t="shared" si="12"/>
        <v>0.38127571701364549</v>
      </c>
      <c r="J30">
        <f t="shared" si="12"/>
        <v>0.38127571701364549</v>
      </c>
      <c r="K30">
        <f t="shared" si="12"/>
        <v>0.38127571701364549</v>
      </c>
      <c r="L30">
        <f t="shared" si="12"/>
        <v>0.38127571701364549</v>
      </c>
      <c r="M30">
        <f t="shared" si="12"/>
        <v>0.38127571701364549</v>
      </c>
      <c r="N30">
        <f t="shared" si="12"/>
        <v>0.38127571701364549</v>
      </c>
      <c r="O30">
        <f t="shared" si="12"/>
        <v>0.38127571701364549</v>
      </c>
      <c r="P30">
        <f t="shared" si="12"/>
        <v>0.38127571701364549</v>
      </c>
      <c r="Q30">
        <f t="shared" si="12"/>
        <v>0.38127571701364549</v>
      </c>
      <c r="R30">
        <f t="shared" si="12"/>
        <v>0.38127571701364549</v>
      </c>
      <c r="S30">
        <f t="shared" si="12"/>
        <v>0.38127571701364549</v>
      </c>
      <c r="T30">
        <f t="shared" si="12"/>
        <v>0.38127571701364549</v>
      </c>
      <c r="U30">
        <f t="shared" si="12"/>
        <v>0.38127571701364549</v>
      </c>
      <c r="V30">
        <f t="shared" si="12"/>
        <v>0.38127571701364549</v>
      </c>
    </row>
    <row r="31" spans="1:23">
      <c r="A31" s="28" t="s">
        <v>194</v>
      </c>
      <c r="B31" s="28"/>
      <c r="C31" s="128">
        <f>'Price Assumptions'!$B$5</f>
        <v>13.91</v>
      </c>
      <c r="D31" s="128">
        <f>'Price Assumptions'!$B$5</f>
        <v>13.91</v>
      </c>
      <c r="E31" s="128">
        <f>'Price Assumptions'!$B$5</f>
        <v>13.91</v>
      </c>
      <c r="F31" s="128">
        <f>'Price Assumptions'!$B$5</f>
        <v>13.91</v>
      </c>
      <c r="G31" s="128">
        <f>'Price Assumptions'!$B$5</f>
        <v>13.91</v>
      </c>
      <c r="H31" s="128">
        <f>'Price Assumptions'!$B$5</f>
        <v>13.91</v>
      </c>
      <c r="I31" s="128">
        <f>'Price Assumptions'!$B$5</f>
        <v>13.91</v>
      </c>
      <c r="J31" s="128">
        <f>'Price Assumptions'!$B$5</f>
        <v>13.91</v>
      </c>
      <c r="K31" s="128">
        <f>'Price Assumptions'!$B$5</f>
        <v>13.91</v>
      </c>
      <c r="L31" s="128">
        <f>'Price Assumptions'!$B$5</f>
        <v>13.91</v>
      </c>
      <c r="M31" s="128">
        <f>'Price Assumptions'!$B$5</f>
        <v>13.91</v>
      </c>
      <c r="N31" s="128">
        <f>'Price Assumptions'!$B$5</f>
        <v>13.91</v>
      </c>
      <c r="O31" s="128">
        <f>'Price Assumptions'!$B$5</f>
        <v>13.91</v>
      </c>
      <c r="P31" s="128">
        <f>'Price Assumptions'!$B$5</f>
        <v>13.91</v>
      </c>
      <c r="Q31" s="128">
        <f>'Price Assumptions'!$B$5</f>
        <v>13.91</v>
      </c>
      <c r="R31" s="128">
        <f>'Price Assumptions'!$B$5</f>
        <v>13.91</v>
      </c>
      <c r="S31" s="128">
        <f>'Price Assumptions'!$B$5</f>
        <v>13.91</v>
      </c>
      <c r="T31" s="128">
        <f>'Price Assumptions'!$B$5</f>
        <v>13.91</v>
      </c>
      <c r="U31" s="128">
        <f>'Price Assumptions'!$B$5</f>
        <v>13.91</v>
      </c>
      <c r="V31" s="128">
        <f>'Price Assumptions'!$B$5</f>
        <v>13.91</v>
      </c>
    </row>
    <row r="32" spans="1:23">
      <c r="A32" s="28" t="s">
        <v>151</v>
      </c>
      <c r="B32" s="28"/>
      <c r="C32" s="128">
        <f>C30*C31</f>
        <v>5.3035452236598086</v>
      </c>
      <c r="D32" s="128">
        <f t="shared" ref="D32:V32" si="13">D30*D31</f>
        <v>5.3035452236598086</v>
      </c>
      <c r="E32" s="128">
        <f t="shared" si="13"/>
        <v>5.3035452236598086</v>
      </c>
      <c r="F32" s="128">
        <f t="shared" si="13"/>
        <v>5.3035452236598086</v>
      </c>
      <c r="G32" s="128">
        <f t="shared" si="13"/>
        <v>5.3035452236598086</v>
      </c>
      <c r="H32" s="128">
        <f t="shared" si="13"/>
        <v>5.3035452236598086</v>
      </c>
      <c r="I32" s="128">
        <f t="shared" si="13"/>
        <v>5.3035452236598086</v>
      </c>
      <c r="J32" s="128">
        <f t="shared" si="13"/>
        <v>5.3035452236598086</v>
      </c>
      <c r="K32" s="128">
        <f t="shared" si="13"/>
        <v>5.3035452236598086</v>
      </c>
      <c r="L32" s="128">
        <f t="shared" si="13"/>
        <v>5.3035452236598086</v>
      </c>
      <c r="M32" s="128">
        <f t="shared" si="13"/>
        <v>5.3035452236598086</v>
      </c>
      <c r="N32" s="128">
        <f t="shared" si="13"/>
        <v>5.3035452236598086</v>
      </c>
      <c r="O32" s="128">
        <f t="shared" si="13"/>
        <v>5.3035452236598086</v>
      </c>
      <c r="P32" s="128">
        <f t="shared" si="13"/>
        <v>5.3035452236598086</v>
      </c>
      <c r="Q32" s="128">
        <f t="shared" si="13"/>
        <v>5.3035452236598086</v>
      </c>
      <c r="R32" s="128">
        <f t="shared" si="13"/>
        <v>5.3035452236598086</v>
      </c>
      <c r="S32" s="128">
        <f t="shared" si="13"/>
        <v>5.3035452236598086</v>
      </c>
      <c r="T32" s="128">
        <f t="shared" si="13"/>
        <v>5.3035452236598086</v>
      </c>
      <c r="U32" s="128">
        <f t="shared" si="13"/>
        <v>5.3035452236598086</v>
      </c>
      <c r="V32" s="128">
        <f t="shared" si="13"/>
        <v>5.3035452236598086</v>
      </c>
    </row>
    <row r="33" spans="1:22">
      <c r="A33" s="28" t="s">
        <v>152</v>
      </c>
      <c r="B33" s="28"/>
      <c r="C33" s="107">
        <f>'Price Assumptions'!$B$22</f>
        <v>2.107407271835358</v>
      </c>
      <c r="D33" s="107">
        <f>'Price Assumptions'!$B$22</f>
        <v>2.107407271835358</v>
      </c>
      <c r="E33" s="107">
        <f>'Price Assumptions'!$B$22</f>
        <v>2.107407271835358</v>
      </c>
      <c r="F33" s="107">
        <f>'Price Assumptions'!$B$22</f>
        <v>2.107407271835358</v>
      </c>
      <c r="G33" s="107">
        <f>'Price Assumptions'!$B$22</f>
        <v>2.107407271835358</v>
      </c>
      <c r="H33" s="107">
        <f>'Price Assumptions'!$B$22</f>
        <v>2.107407271835358</v>
      </c>
      <c r="I33" s="107">
        <f>'Price Assumptions'!$B$22</f>
        <v>2.107407271835358</v>
      </c>
      <c r="J33" s="107">
        <f>'Price Assumptions'!$B$22</f>
        <v>2.107407271835358</v>
      </c>
      <c r="K33" s="107">
        <f>'Price Assumptions'!$B$22</f>
        <v>2.107407271835358</v>
      </c>
      <c r="L33" s="107">
        <f>'Price Assumptions'!$B$22</f>
        <v>2.107407271835358</v>
      </c>
      <c r="M33" s="107">
        <f>'Price Assumptions'!$B$22</f>
        <v>2.107407271835358</v>
      </c>
      <c r="N33" s="107">
        <f>'Price Assumptions'!$B$22</f>
        <v>2.107407271835358</v>
      </c>
      <c r="O33" s="107">
        <f>'Price Assumptions'!$B$22</f>
        <v>2.107407271835358</v>
      </c>
      <c r="P33" s="107">
        <f>'Price Assumptions'!$B$22</f>
        <v>2.107407271835358</v>
      </c>
      <c r="Q33" s="107">
        <f>'Price Assumptions'!$B$22</f>
        <v>2.107407271835358</v>
      </c>
      <c r="R33" s="107">
        <f>'Price Assumptions'!$B$22</f>
        <v>2.107407271835358</v>
      </c>
      <c r="S33" s="107">
        <f>'Price Assumptions'!$B$22</f>
        <v>2.107407271835358</v>
      </c>
      <c r="T33" s="107">
        <f>'Price Assumptions'!$B$22</f>
        <v>2.107407271835358</v>
      </c>
      <c r="U33" s="107">
        <f>'Price Assumptions'!$B$22</f>
        <v>2.107407271835358</v>
      </c>
      <c r="V33" s="107">
        <f>'Price Assumptions'!$B$22</f>
        <v>2.107407271835358</v>
      </c>
    </row>
    <row r="35" spans="1:22">
      <c r="A35" s="28" t="s">
        <v>232</v>
      </c>
      <c r="B35" s="28"/>
      <c r="C35" s="28">
        <v>1.5</v>
      </c>
      <c r="D35" s="28">
        <v>1.5</v>
      </c>
      <c r="E35" s="28">
        <v>1.5</v>
      </c>
      <c r="F35" s="28">
        <v>1.5</v>
      </c>
      <c r="G35" s="28">
        <v>1.5</v>
      </c>
      <c r="H35" s="28">
        <v>1.5</v>
      </c>
      <c r="I35" s="28">
        <v>1.5</v>
      </c>
      <c r="J35" s="28">
        <v>1.5</v>
      </c>
      <c r="K35" s="28">
        <v>1.5</v>
      </c>
      <c r="L35" s="28">
        <v>1.5</v>
      </c>
      <c r="M35" s="28">
        <v>1.5</v>
      </c>
      <c r="N35" s="28">
        <v>1.5</v>
      </c>
      <c r="O35" s="28">
        <v>1.5</v>
      </c>
      <c r="P35" s="28">
        <v>1.5</v>
      </c>
      <c r="Q35" s="28">
        <v>1.5</v>
      </c>
      <c r="R35" s="28">
        <v>1.5</v>
      </c>
      <c r="S35" s="28">
        <v>1.5</v>
      </c>
      <c r="T35" s="28">
        <v>1.5</v>
      </c>
      <c r="U35" s="28">
        <v>1.5</v>
      </c>
      <c r="V35" s="28">
        <v>1.5</v>
      </c>
    </row>
    <row r="36" spans="1:22">
      <c r="A36" s="28" t="s">
        <v>205</v>
      </c>
      <c r="B36" s="28"/>
      <c r="C36" s="28">
        <v>12.1</v>
      </c>
      <c r="D36" s="28">
        <v>12.1</v>
      </c>
      <c r="E36" s="28">
        <v>12.1</v>
      </c>
      <c r="F36" s="28">
        <v>12.1</v>
      </c>
      <c r="G36" s="28">
        <v>12.1</v>
      </c>
      <c r="H36" s="28">
        <v>12.1</v>
      </c>
      <c r="I36" s="28">
        <v>12.1</v>
      </c>
      <c r="J36" s="28">
        <v>12.1</v>
      </c>
      <c r="K36" s="28">
        <v>12.1</v>
      </c>
      <c r="L36" s="28">
        <v>12.1</v>
      </c>
      <c r="M36" s="28">
        <v>12.1</v>
      </c>
      <c r="N36" s="28">
        <v>12.1</v>
      </c>
      <c r="O36" s="28">
        <v>12.1</v>
      </c>
      <c r="P36" s="28">
        <v>12.1</v>
      </c>
      <c r="Q36" s="28">
        <v>12.1</v>
      </c>
      <c r="R36" s="28">
        <v>12.1</v>
      </c>
      <c r="S36" s="28">
        <v>12.1</v>
      </c>
      <c r="T36" s="28">
        <v>12.1</v>
      </c>
      <c r="U36" s="28">
        <v>12.1</v>
      </c>
      <c r="V36" s="28">
        <v>12.1</v>
      </c>
    </row>
    <row r="37" spans="1:22">
      <c r="A37" t="s">
        <v>415</v>
      </c>
      <c r="B37" s="28"/>
      <c r="C37">
        <f>(C35/C36)+(5/60)</f>
        <v>0.20730027548209368</v>
      </c>
      <c r="D37">
        <f t="shared" ref="D37:V37" si="14">(D35/D36)+(5/60)</f>
        <v>0.20730027548209368</v>
      </c>
      <c r="E37">
        <f t="shared" si="14"/>
        <v>0.20730027548209368</v>
      </c>
      <c r="F37">
        <f t="shared" si="14"/>
        <v>0.20730027548209368</v>
      </c>
      <c r="G37">
        <f t="shared" si="14"/>
        <v>0.20730027548209368</v>
      </c>
      <c r="H37">
        <f t="shared" si="14"/>
        <v>0.20730027548209368</v>
      </c>
      <c r="I37">
        <f t="shared" si="14"/>
        <v>0.20730027548209368</v>
      </c>
      <c r="J37">
        <f t="shared" si="14"/>
        <v>0.20730027548209368</v>
      </c>
      <c r="K37">
        <f t="shared" si="14"/>
        <v>0.20730027548209368</v>
      </c>
      <c r="L37">
        <f t="shared" si="14"/>
        <v>0.20730027548209368</v>
      </c>
      <c r="M37">
        <f t="shared" si="14"/>
        <v>0.20730027548209368</v>
      </c>
      <c r="N37">
        <f t="shared" si="14"/>
        <v>0.20730027548209368</v>
      </c>
      <c r="O37">
        <f t="shared" si="14"/>
        <v>0.20730027548209368</v>
      </c>
      <c r="P37">
        <f t="shared" si="14"/>
        <v>0.20730027548209368</v>
      </c>
      <c r="Q37">
        <f t="shared" si="14"/>
        <v>0.20730027548209368</v>
      </c>
      <c r="R37">
        <f t="shared" si="14"/>
        <v>0.20730027548209368</v>
      </c>
      <c r="S37">
        <f t="shared" si="14"/>
        <v>0.20730027548209368</v>
      </c>
      <c r="T37">
        <f t="shared" si="14"/>
        <v>0.20730027548209368</v>
      </c>
      <c r="U37">
        <f t="shared" si="14"/>
        <v>0.20730027548209368</v>
      </c>
      <c r="V37">
        <f t="shared" si="14"/>
        <v>0.20730027548209368</v>
      </c>
    </row>
    <row r="38" spans="1:22">
      <c r="A38" s="28" t="s">
        <v>194</v>
      </c>
      <c r="B38" s="28"/>
      <c r="C38" s="128">
        <f>'Price Assumptions'!$B$5</f>
        <v>13.91</v>
      </c>
      <c r="D38" s="128">
        <f>'Price Assumptions'!$B$5</f>
        <v>13.91</v>
      </c>
      <c r="E38" s="128">
        <f>'Price Assumptions'!$B$5</f>
        <v>13.91</v>
      </c>
      <c r="F38" s="128">
        <f>'Price Assumptions'!$B$5</f>
        <v>13.91</v>
      </c>
      <c r="G38" s="128">
        <f>'Price Assumptions'!$B$5</f>
        <v>13.91</v>
      </c>
      <c r="H38" s="128">
        <f>'Price Assumptions'!$B$5</f>
        <v>13.91</v>
      </c>
      <c r="I38" s="128">
        <f>'Price Assumptions'!$B$5</f>
        <v>13.91</v>
      </c>
      <c r="J38" s="128">
        <f>'Price Assumptions'!$B$5</f>
        <v>13.91</v>
      </c>
      <c r="K38" s="128">
        <f>'Price Assumptions'!$B$5</f>
        <v>13.91</v>
      </c>
      <c r="L38" s="128">
        <f>'Price Assumptions'!$B$5</f>
        <v>13.91</v>
      </c>
      <c r="M38" s="128">
        <f>'Price Assumptions'!$B$5</f>
        <v>13.91</v>
      </c>
      <c r="N38" s="128">
        <f>'Price Assumptions'!$B$5</f>
        <v>13.91</v>
      </c>
      <c r="O38" s="128">
        <f>'Price Assumptions'!$B$5</f>
        <v>13.91</v>
      </c>
      <c r="P38" s="128">
        <f>'Price Assumptions'!$B$5</f>
        <v>13.91</v>
      </c>
      <c r="Q38" s="128">
        <f>'Price Assumptions'!$B$5</f>
        <v>13.91</v>
      </c>
      <c r="R38" s="128">
        <f>'Price Assumptions'!$B$5</f>
        <v>13.91</v>
      </c>
      <c r="S38" s="128">
        <f>'Price Assumptions'!$B$5</f>
        <v>13.91</v>
      </c>
      <c r="T38" s="128">
        <f>'Price Assumptions'!$B$5</f>
        <v>13.91</v>
      </c>
      <c r="U38" s="128">
        <f>'Price Assumptions'!$B$5</f>
        <v>13.91</v>
      </c>
      <c r="V38" s="128">
        <f>'Price Assumptions'!$B$5</f>
        <v>13.91</v>
      </c>
    </row>
    <row r="39" spans="1:22">
      <c r="A39" s="28" t="s">
        <v>151</v>
      </c>
      <c r="B39" s="28"/>
      <c r="C39" s="128">
        <f>C37*C38</f>
        <v>2.8835468319559232</v>
      </c>
      <c r="D39" s="128">
        <f t="shared" ref="D39:V39" si="15">D37*D38</f>
        <v>2.8835468319559232</v>
      </c>
      <c r="E39" s="128">
        <f t="shared" si="15"/>
        <v>2.8835468319559232</v>
      </c>
      <c r="F39" s="128">
        <f t="shared" si="15"/>
        <v>2.8835468319559232</v>
      </c>
      <c r="G39" s="128">
        <f t="shared" si="15"/>
        <v>2.8835468319559232</v>
      </c>
      <c r="H39" s="128">
        <f t="shared" si="15"/>
        <v>2.8835468319559232</v>
      </c>
      <c r="I39" s="128">
        <f t="shared" si="15"/>
        <v>2.8835468319559232</v>
      </c>
      <c r="J39" s="128">
        <f t="shared" si="15"/>
        <v>2.8835468319559232</v>
      </c>
      <c r="K39" s="128">
        <f t="shared" si="15"/>
        <v>2.8835468319559232</v>
      </c>
      <c r="L39" s="128">
        <f t="shared" si="15"/>
        <v>2.8835468319559232</v>
      </c>
      <c r="M39" s="128">
        <f t="shared" si="15"/>
        <v>2.8835468319559232</v>
      </c>
      <c r="N39" s="128">
        <f t="shared" si="15"/>
        <v>2.8835468319559232</v>
      </c>
      <c r="O39" s="128">
        <f t="shared" si="15"/>
        <v>2.8835468319559232</v>
      </c>
      <c r="P39" s="128">
        <f t="shared" si="15"/>
        <v>2.8835468319559232</v>
      </c>
      <c r="Q39" s="128">
        <f t="shared" si="15"/>
        <v>2.8835468319559232</v>
      </c>
      <c r="R39" s="128">
        <f t="shared" si="15"/>
        <v>2.8835468319559232</v>
      </c>
      <c r="S39" s="128">
        <f t="shared" si="15"/>
        <v>2.8835468319559232</v>
      </c>
      <c r="T39" s="128">
        <f t="shared" si="15"/>
        <v>2.8835468319559232</v>
      </c>
      <c r="U39" s="128">
        <f t="shared" si="15"/>
        <v>2.8835468319559232</v>
      </c>
      <c r="V39" s="128">
        <f t="shared" si="15"/>
        <v>2.8835468319559232</v>
      </c>
    </row>
    <row r="40" spans="1:22">
      <c r="A40" s="28" t="s">
        <v>152</v>
      </c>
      <c r="B40" s="28"/>
      <c r="C40" s="107">
        <f>'Price Assumptions'!$B$20</f>
        <v>1.292</v>
      </c>
      <c r="D40" s="107">
        <f>'Price Assumptions'!$B$20</f>
        <v>1.292</v>
      </c>
      <c r="E40" s="107">
        <f>'Price Assumptions'!$B$20</f>
        <v>1.292</v>
      </c>
      <c r="F40" s="107">
        <f>'Price Assumptions'!$B$20</f>
        <v>1.292</v>
      </c>
      <c r="G40" s="107">
        <f>'Price Assumptions'!$B$20</f>
        <v>1.292</v>
      </c>
      <c r="H40" s="107">
        <f>'Price Assumptions'!$B$20</f>
        <v>1.292</v>
      </c>
      <c r="I40" s="107">
        <f>'Price Assumptions'!$B$20</f>
        <v>1.292</v>
      </c>
      <c r="J40" s="107">
        <f>'Price Assumptions'!$B$20</f>
        <v>1.292</v>
      </c>
      <c r="K40" s="107">
        <f>'Price Assumptions'!$B$20</f>
        <v>1.292</v>
      </c>
      <c r="L40" s="107">
        <f>'Price Assumptions'!$B$20</f>
        <v>1.292</v>
      </c>
      <c r="M40" s="107">
        <f>'Price Assumptions'!$B$20</f>
        <v>1.292</v>
      </c>
      <c r="N40" s="107">
        <f>'Price Assumptions'!$B$20</f>
        <v>1.292</v>
      </c>
      <c r="O40" s="107">
        <f>'Price Assumptions'!$B$20</f>
        <v>1.292</v>
      </c>
      <c r="P40" s="107">
        <f>'Price Assumptions'!$B$20</f>
        <v>1.292</v>
      </c>
      <c r="Q40" s="107">
        <f>'Price Assumptions'!$B$20</f>
        <v>1.292</v>
      </c>
      <c r="R40" s="107">
        <f>'Price Assumptions'!$B$20</f>
        <v>1.292</v>
      </c>
      <c r="S40" s="107">
        <f>'Price Assumptions'!$B$20</f>
        <v>1.292</v>
      </c>
      <c r="T40" s="107">
        <f>'Price Assumptions'!$B$20</f>
        <v>1.292</v>
      </c>
      <c r="U40" s="107">
        <f>'Price Assumptions'!$B$20</f>
        <v>1.292</v>
      </c>
      <c r="V40" s="107">
        <f>'Price Assumptions'!$B$20</f>
        <v>1.292</v>
      </c>
    </row>
    <row r="42" spans="1:22">
      <c r="A42" t="s">
        <v>244</v>
      </c>
      <c r="C42" s="128">
        <f>'Price Assumptions'!$B$7</f>
        <v>26.211180124223603</v>
      </c>
      <c r="D42" s="128">
        <f>'Price Assumptions'!$B$7</f>
        <v>26.211180124223603</v>
      </c>
      <c r="E42" s="128">
        <f>'Price Assumptions'!$B$7</f>
        <v>26.211180124223603</v>
      </c>
      <c r="F42" s="128">
        <f>'Price Assumptions'!$B$7</f>
        <v>26.211180124223603</v>
      </c>
      <c r="G42" s="128">
        <f>'Price Assumptions'!$B$7</f>
        <v>26.211180124223603</v>
      </c>
      <c r="H42" s="128">
        <f>'Price Assumptions'!$B$7</f>
        <v>26.211180124223603</v>
      </c>
      <c r="I42" s="128">
        <f>'Price Assumptions'!$B$7</f>
        <v>26.211180124223603</v>
      </c>
      <c r="J42" s="128">
        <f>'Price Assumptions'!$B$7</f>
        <v>26.211180124223603</v>
      </c>
      <c r="K42" s="128">
        <f>'Price Assumptions'!$B$7</f>
        <v>26.211180124223603</v>
      </c>
      <c r="L42" s="128">
        <f>'Price Assumptions'!$B$7</f>
        <v>26.211180124223603</v>
      </c>
      <c r="M42" s="128">
        <f>'Price Assumptions'!$B$7</f>
        <v>26.211180124223603</v>
      </c>
      <c r="N42" s="128">
        <f>'Price Assumptions'!$B$7</f>
        <v>26.211180124223603</v>
      </c>
      <c r="O42" s="128">
        <f>'Price Assumptions'!$B$7</f>
        <v>26.211180124223603</v>
      </c>
      <c r="P42" s="128">
        <f>'Price Assumptions'!$B$7</f>
        <v>26.211180124223603</v>
      </c>
      <c r="Q42" s="128">
        <f>'Price Assumptions'!$B$7</f>
        <v>26.211180124223603</v>
      </c>
      <c r="R42" s="128">
        <f>'Price Assumptions'!$B$7</f>
        <v>26.211180124223603</v>
      </c>
      <c r="S42" s="128">
        <f>'Price Assumptions'!$B$7</f>
        <v>26.211180124223603</v>
      </c>
      <c r="T42" s="128">
        <f>'Price Assumptions'!$B$7</f>
        <v>26.211180124223603</v>
      </c>
      <c r="U42" s="128">
        <f>'Price Assumptions'!$B$7</f>
        <v>26.211180124223603</v>
      </c>
      <c r="V42" s="128">
        <f>'Price Assumptions'!$B$7</f>
        <v>26.211180124223603</v>
      </c>
    </row>
    <row r="44" spans="1:22">
      <c r="A44" t="s">
        <v>253</v>
      </c>
      <c r="C44">
        <v>8</v>
      </c>
      <c r="D44">
        <v>8</v>
      </c>
      <c r="E44">
        <v>8</v>
      </c>
      <c r="F44">
        <v>8</v>
      </c>
      <c r="G44">
        <v>8</v>
      </c>
      <c r="H44">
        <v>8</v>
      </c>
      <c r="I44">
        <v>8</v>
      </c>
      <c r="J44">
        <v>8</v>
      </c>
      <c r="K44">
        <v>8</v>
      </c>
      <c r="L44">
        <v>8</v>
      </c>
      <c r="M44">
        <v>8</v>
      </c>
      <c r="N44">
        <v>8</v>
      </c>
      <c r="O44">
        <v>8</v>
      </c>
      <c r="P44">
        <v>8</v>
      </c>
      <c r="Q44">
        <v>8</v>
      </c>
      <c r="R44">
        <v>8</v>
      </c>
      <c r="S44">
        <v>8</v>
      </c>
      <c r="T44">
        <v>8</v>
      </c>
      <c r="U44">
        <v>8</v>
      </c>
      <c r="V44">
        <v>8</v>
      </c>
    </row>
    <row r="46" spans="1:22">
      <c r="A46" t="s">
        <v>261</v>
      </c>
      <c r="C46" s="128">
        <f>'Price Assumptions'!$B$3</f>
        <v>13.91</v>
      </c>
      <c r="D46" s="128">
        <f>'Price Assumptions'!$B$3</f>
        <v>13.91</v>
      </c>
      <c r="E46" s="128">
        <f>'Price Assumptions'!$B$3</f>
        <v>13.91</v>
      </c>
      <c r="F46" s="128">
        <f>'Price Assumptions'!$B$3</f>
        <v>13.91</v>
      </c>
      <c r="G46" s="128">
        <f>'Price Assumptions'!$B$3</f>
        <v>13.91</v>
      </c>
      <c r="H46" s="128">
        <f>'Price Assumptions'!$B$3</f>
        <v>13.91</v>
      </c>
      <c r="I46" s="128">
        <f>'Price Assumptions'!$B$3</f>
        <v>13.91</v>
      </c>
      <c r="J46" s="128">
        <f>'Price Assumptions'!$B$3</f>
        <v>13.91</v>
      </c>
      <c r="K46" s="128">
        <f>'Price Assumptions'!$B$3</f>
        <v>13.91</v>
      </c>
      <c r="L46" s="128">
        <f>'Price Assumptions'!$B$3</f>
        <v>13.91</v>
      </c>
      <c r="M46" s="128">
        <f>'Price Assumptions'!$B$3</f>
        <v>13.91</v>
      </c>
      <c r="N46" s="128">
        <f>'Price Assumptions'!$B$3</f>
        <v>13.91</v>
      </c>
      <c r="O46" s="128">
        <f>'Price Assumptions'!$B$3</f>
        <v>13.91</v>
      </c>
      <c r="P46" s="128">
        <f>'Price Assumptions'!$B$3</f>
        <v>13.91</v>
      </c>
      <c r="Q46" s="128">
        <f>'Price Assumptions'!$B$3</f>
        <v>13.91</v>
      </c>
      <c r="R46" s="128">
        <f>'Price Assumptions'!$B$3</f>
        <v>13.91</v>
      </c>
      <c r="S46" s="128">
        <f>'Price Assumptions'!$B$3</f>
        <v>13.91</v>
      </c>
      <c r="T46" s="128">
        <f>'Price Assumptions'!$B$3</f>
        <v>13.91</v>
      </c>
      <c r="U46" s="128">
        <f>'Price Assumptions'!$B$3</f>
        <v>13.91</v>
      </c>
      <c r="V46" s="128">
        <f>'Price Assumptions'!$B$3</f>
        <v>13.91</v>
      </c>
    </row>
  </sheetData>
  <phoneticPr fontId="2"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X27"/>
  <sheetViews>
    <sheetView tabSelected="1" workbookViewId="0">
      <pane xSplit="1" ySplit="2" topLeftCell="B3" activePane="bottomRight" state="frozen"/>
      <selection pane="topRight" activeCell="B1" sqref="B1"/>
      <selection pane="bottomLeft" activeCell="A3" sqref="A3"/>
      <selection pane="bottomRight" activeCell="X13" sqref="X13"/>
    </sheetView>
  </sheetViews>
  <sheetFormatPr defaultRowHeight="13.2"/>
  <cols>
    <col min="1" max="1" width="25.88671875" customWidth="1"/>
    <col min="3" max="3" width="7.6640625" bestFit="1" customWidth="1"/>
    <col min="4" max="23" width="9.33203125" bestFit="1" customWidth="1"/>
  </cols>
  <sheetData>
    <row r="1" spans="1:23" s="96" customFormat="1">
      <c r="B1" s="96">
        <v>2009</v>
      </c>
      <c r="C1" s="96">
        <v>2010</v>
      </c>
      <c r="D1" s="94">
        <v>2011</v>
      </c>
      <c r="E1" s="94">
        <v>2012</v>
      </c>
      <c r="F1" s="94">
        <v>2013</v>
      </c>
      <c r="G1" s="94">
        <v>2014</v>
      </c>
      <c r="H1" s="94">
        <v>2015</v>
      </c>
      <c r="I1" s="94">
        <v>2016</v>
      </c>
      <c r="J1" s="94">
        <v>2017</v>
      </c>
      <c r="K1" s="94">
        <v>2018</v>
      </c>
      <c r="L1" s="94">
        <v>2019</v>
      </c>
      <c r="M1" s="94">
        <v>2020</v>
      </c>
      <c r="N1" s="94">
        <v>2021</v>
      </c>
      <c r="O1" s="94">
        <v>2022</v>
      </c>
      <c r="P1" s="94">
        <v>2023</v>
      </c>
      <c r="Q1" s="94">
        <v>2024</v>
      </c>
      <c r="R1" s="94">
        <v>2025</v>
      </c>
      <c r="S1" s="94">
        <v>2026</v>
      </c>
      <c r="T1" s="94">
        <v>2027</v>
      </c>
      <c r="U1" s="94">
        <v>2028</v>
      </c>
      <c r="V1" s="94">
        <v>2029</v>
      </c>
      <c r="W1" s="94">
        <v>2030</v>
      </c>
    </row>
    <row r="2" spans="1:23" s="96" customFormat="1">
      <c r="D2" s="94" t="s">
        <v>22</v>
      </c>
      <c r="E2" s="94" t="s">
        <v>23</v>
      </c>
      <c r="F2" s="94" t="s">
        <v>24</v>
      </c>
      <c r="G2" s="94" t="s">
        <v>25</v>
      </c>
      <c r="H2" s="94" t="s">
        <v>26</v>
      </c>
      <c r="I2" s="94" t="s">
        <v>27</v>
      </c>
      <c r="J2" s="94" t="s">
        <v>28</v>
      </c>
      <c r="K2" s="94" t="s">
        <v>29</v>
      </c>
      <c r="L2" s="94" t="s">
        <v>30</v>
      </c>
      <c r="M2" s="94" t="s">
        <v>31</v>
      </c>
      <c r="N2" s="94" t="s">
        <v>32</v>
      </c>
      <c r="O2" s="94" t="s">
        <v>33</v>
      </c>
      <c r="P2" s="94" t="s">
        <v>34</v>
      </c>
      <c r="Q2" s="94" t="s">
        <v>35</v>
      </c>
      <c r="R2" s="94" t="s">
        <v>36</v>
      </c>
      <c r="S2" s="94" t="s">
        <v>37</v>
      </c>
      <c r="T2" s="94" t="s">
        <v>38</v>
      </c>
      <c r="U2" s="94" t="s">
        <v>39</v>
      </c>
      <c r="V2" s="94" t="s">
        <v>40</v>
      </c>
      <c r="W2" s="94" t="s">
        <v>174</v>
      </c>
    </row>
    <row r="3" spans="1:23">
      <c r="A3" s="25" t="s">
        <v>68</v>
      </c>
    </row>
    <row r="4" spans="1:23">
      <c r="A4" t="s">
        <v>70</v>
      </c>
      <c r="C4">
        <v>0.58109999999999995</v>
      </c>
      <c r="D4">
        <f>((M4-C4)/10)+C4</f>
        <v>0.54696999999999996</v>
      </c>
      <c r="E4">
        <f>((M4-D4)/9)+D4</f>
        <v>0.51283999999999996</v>
      </c>
      <c r="F4">
        <f>((M4-E4)/8)+E4</f>
        <v>0.47870999999999997</v>
      </c>
      <c r="G4">
        <f>((M4-F4)/7)+F4</f>
        <v>0.44457999999999998</v>
      </c>
      <c r="H4">
        <f>((M4-G4)/6)+G4</f>
        <v>0.41044999999999998</v>
      </c>
      <c r="I4">
        <f>((M4-H4)/5)+H4</f>
        <v>0.37631999999999999</v>
      </c>
      <c r="J4">
        <f>((M4-I4)/4)+I4</f>
        <v>0.34218999999999999</v>
      </c>
      <c r="K4">
        <f>((M4-J4)/3)+J4</f>
        <v>0.30806</v>
      </c>
      <c r="L4">
        <f>((M4-K4)/2)+K4</f>
        <v>0.27393000000000001</v>
      </c>
      <c r="M4">
        <v>0.23980000000000001</v>
      </c>
      <c r="N4">
        <f>((W4-M4)/10)+M4</f>
        <v>0.23302</v>
      </c>
      <c r="O4">
        <f>((W4-N4)/9)+N4</f>
        <v>0.22624</v>
      </c>
      <c r="P4">
        <f>((W4-O4)/8)+O4</f>
        <v>0.21945999999999999</v>
      </c>
      <c r="Q4">
        <f>((W4-P4)/7)+P4</f>
        <v>0.21267999999999998</v>
      </c>
      <c r="R4">
        <f>((W4-Q4)/6)+Q4</f>
        <v>0.20589999999999997</v>
      </c>
      <c r="S4">
        <f>((W4-R4)/5)+R4</f>
        <v>0.19911999999999996</v>
      </c>
      <c r="T4">
        <f>((W4-S4)/4)+S4</f>
        <v>0.19233999999999996</v>
      </c>
      <c r="U4">
        <f>((W4-T4)/3)+T4</f>
        <v>0.18555999999999997</v>
      </c>
      <c r="V4">
        <f>((W4-U4)/2)+U4</f>
        <v>0.17877999999999999</v>
      </c>
      <c r="W4">
        <v>0.17199999999999999</v>
      </c>
    </row>
    <row r="5" spans="1:23">
      <c r="A5" t="s">
        <v>72</v>
      </c>
      <c r="C5">
        <v>0.38109999999999999</v>
      </c>
      <c r="D5">
        <f>((M5-C5)/10)+C5</f>
        <v>0.35897000000000001</v>
      </c>
      <c r="E5">
        <f>((M5-D5)/9)+D5</f>
        <v>0.33684000000000003</v>
      </c>
      <c r="F5">
        <f>((M5-E5)/8)+E5</f>
        <v>0.31471000000000005</v>
      </c>
      <c r="G5">
        <f>((M5-F5)/7)+F5</f>
        <v>0.29258000000000006</v>
      </c>
      <c r="H5">
        <f>((M5-G5)/6)+G5</f>
        <v>0.27045000000000008</v>
      </c>
      <c r="I5">
        <f>((M5-H5)/5)+H5</f>
        <v>0.24832000000000007</v>
      </c>
      <c r="J5">
        <f>((M5-I5)/4)+I5</f>
        <v>0.22619000000000006</v>
      </c>
      <c r="K5">
        <f>((M5-J5)/3)+J5</f>
        <v>0.20406000000000005</v>
      </c>
      <c r="L5">
        <f>((M5-K5)/2)+K5</f>
        <v>0.18193000000000004</v>
      </c>
      <c r="M5">
        <v>0.1598</v>
      </c>
      <c r="N5">
        <f>((W5-M5)/10)+M5</f>
        <v>0.15725</v>
      </c>
      <c r="O5">
        <f>((W5-N5)/9)+N5</f>
        <v>0.1547</v>
      </c>
      <c r="P5">
        <f>((W5-O5)/8)+O5</f>
        <v>0.15215000000000001</v>
      </c>
      <c r="Q5">
        <f>((W5-P5)/7)+P5</f>
        <v>0.14960000000000001</v>
      </c>
      <c r="R5">
        <f>((W5-Q5)/6)+Q5</f>
        <v>0.14705000000000001</v>
      </c>
      <c r="S5">
        <f>((W5-R5)/5)+R5</f>
        <v>0.14450000000000002</v>
      </c>
      <c r="T5">
        <f>((W5-S5)/4)+S5</f>
        <v>0.14195000000000002</v>
      </c>
      <c r="U5">
        <f>((W5-T5)/3)+T5</f>
        <v>0.13940000000000002</v>
      </c>
      <c r="V5">
        <f>((W5-U5)/2)+U5</f>
        <v>0.13685000000000003</v>
      </c>
      <c r="W5">
        <v>0.1343</v>
      </c>
    </row>
    <row r="6" spans="1:23">
      <c r="A6" t="s">
        <v>164</v>
      </c>
      <c r="D6" s="38">
        <f>'Price Assumptions'!$B$12</f>
        <v>4000</v>
      </c>
      <c r="E6" s="38">
        <f>'Price Assumptions'!$B$12</f>
        <v>4000</v>
      </c>
      <c r="F6" s="38">
        <f>'Price Assumptions'!$B$12</f>
        <v>4000</v>
      </c>
      <c r="G6" s="38">
        <f>'Price Assumptions'!$B$12</f>
        <v>4000</v>
      </c>
      <c r="H6" s="38">
        <f>'Price Assumptions'!$B$12</f>
        <v>4000</v>
      </c>
      <c r="I6" s="38">
        <f>'Price Assumptions'!$B$12</f>
        <v>4000</v>
      </c>
      <c r="J6" s="38">
        <f>'Price Assumptions'!$B$12</f>
        <v>4000</v>
      </c>
      <c r="K6" s="38">
        <f>'Price Assumptions'!$B$12</f>
        <v>4000</v>
      </c>
      <c r="L6" s="38">
        <f>'Price Assumptions'!$B$12</f>
        <v>4000</v>
      </c>
      <c r="M6" s="38">
        <f>'Price Assumptions'!$B$12</f>
        <v>4000</v>
      </c>
      <c r="N6" s="38">
        <f>'Price Assumptions'!$B$12</f>
        <v>4000</v>
      </c>
      <c r="O6" s="38">
        <f>'Price Assumptions'!$B$12</f>
        <v>4000</v>
      </c>
      <c r="P6" s="38">
        <f>'Price Assumptions'!$B$12</f>
        <v>4000</v>
      </c>
      <c r="Q6" s="38">
        <f>'Price Assumptions'!$B$12</f>
        <v>4000</v>
      </c>
      <c r="R6" s="38">
        <f>'Price Assumptions'!$B$12</f>
        <v>4000</v>
      </c>
      <c r="S6" s="38">
        <f>'Price Assumptions'!$B$12</f>
        <v>4000</v>
      </c>
      <c r="T6" s="38">
        <f>'Price Assumptions'!$B$12</f>
        <v>4000</v>
      </c>
      <c r="U6" s="38">
        <f>'Price Assumptions'!$B$12</f>
        <v>4000</v>
      </c>
      <c r="V6" s="38">
        <f>'Price Assumptions'!$B$12</f>
        <v>4000</v>
      </c>
      <c r="W6" s="38">
        <f>'Price Assumptions'!$B$12</f>
        <v>4000</v>
      </c>
    </row>
    <row r="8" spans="1:23">
      <c r="A8" s="25" t="s">
        <v>48</v>
      </c>
    </row>
    <row r="9" spans="1:23">
      <c r="A9" t="s">
        <v>73</v>
      </c>
      <c r="C9">
        <v>0.95989999999999998</v>
      </c>
      <c r="D9">
        <f>((M9-C9)/10)+C9</f>
        <v>0.91769000000000001</v>
      </c>
      <c r="E9">
        <f>((M9-D9)/9)+D9</f>
        <v>0.87548000000000004</v>
      </c>
      <c r="F9">
        <f>((M9-E9)/8)+E9</f>
        <v>0.83327000000000007</v>
      </c>
      <c r="G9">
        <f>((M9-F9)/7)+F9</f>
        <v>0.7910600000000001</v>
      </c>
      <c r="H9">
        <f>((M9-G9)/6)+G9</f>
        <v>0.74885000000000002</v>
      </c>
      <c r="I9">
        <f>((M9-H9)/5)+H9</f>
        <v>0.70664000000000005</v>
      </c>
      <c r="J9">
        <f>((M9-I9)/4)+I9</f>
        <v>0.66443000000000008</v>
      </c>
      <c r="K9">
        <f>((M9-J9)/3)+J9</f>
        <v>0.62222</v>
      </c>
      <c r="L9">
        <f>((M9-K9)/2)+K9</f>
        <v>0.58000999999999991</v>
      </c>
      <c r="M9">
        <v>0.53779999999999994</v>
      </c>
      <c r="N9">
        <f>((W9-M9)/10)+M9</f>
        <v>0.53118999999999994</v>
      </c>
      <c r="O9">
        <f>((W9-N9)/9)+N9</f>
        <v>0.52457999999999994</v>
      </c>
      <c r="P9">
        <f>((W9-O9)/8)+O9</f>
        <v>0.51796999999999993</v>
      </c>
      <c r="Q9">
        <f>((W9-P9)/7)+P9</f>
        <v>0.51135999999999993</v>
      </c>
      <c r="R9">
        <f>((W9-Q9)/6)+Q9</f>
        <v>0.50474999999999992</v>
      </c>
      <c r="S9">
        <f>((W9-R9)/5)+R9</f>
        <v>0.49813999999999992</v>
      </c>
      <c r="T9">
        <f>((W9-S9)/4)+S9</f>
        <v>0.49152999999999991</v>
      </c>
      <c r="U9">
        <f>((W9-T9)/3)+T9</f>
        <v>0.48491999999999996</v>
      </c>
      <c r="V9">
        <f>((W9-U9)/2)+U9</f>
        <v>0.47831000000000001</v>
      </c>
      <c r="W9">
        <v>0.47170000000000001</v>
      </c>
    </row>
    <row r="10" spans="1:23">
      <c r="A10" t="s">
        <v>71</v>
      </c>
      <c r="C10">
        <v>0.16170000000000001</v>
      </c>
      <c r="D10">
        <f>((M10-C10)/10)+C10</f>
        <v>0.15521000000000001</v>
      </c>
      <c r="E10">
        <f>((M10-D10)/9)+D10</f>
        <v>0.14872000000000002</v>
      </c>
      <c r="F10">
        <f>((M10-E10)/8)+E10</f>
        <v>0.14223000000000002</v>
      </c>
      <c r="G10">
        <f>((M10-F10)/7)+F10</f>
        <v>0.13574000000000003</v>
      </c>
      <c r="H10">
        <f>((M10-G10)/6)+G10</f>
        <v>0.12925000000000003</v>
      </c>
      <c r="I10">
        <f>((M10-H10)/5)+H10</f>
        <v>0.12276000000000002</v>
      </c>
      <c r="J10">
        <f>((M10-I10)/4)+I10</f>
        <v>0.11627000000000001</v>
      </c>
      <c r="K10">
        <f>((M10-J10)/3)+J10</f>
        <v>0.10978</v>
      </c>
      <c r="L10">
        <f>((M10-K10)/2)+K10</f>
        <v>0.10328999999999999</v>
      </c>
      <c r="M10">
        <v>9.6799999999999997E-2</v>
      </c>
      <c r="N10">
        <f>((W10-M10)/10)+M10</f>
        <v>9.6169999999999992E-2</v>
      </c>
      <c r="O10">
        <f>((W10-N10)/9)+N10</f>
        <v>9.5539999999999986E-2</v>
      </c>
      <c r="P10">
        <f>((W10-O10)/8)+O10</f>
        <v>9.4909999999999994E-2</v>
      </c>
      <c r="Q10">
        <f>((W10-P10)/7)+P10</f>
        <v>9.4279999999999989E-2</v>
      </c>
      <c r="R10">
        <f>((W10-Q10)/6)+Q10</f>
        <v>9.3649999999999983E-2</v>
      </c>
      <c r="S10">
        <f>((W10-R10)/5)+R10</f>
        <v>9.3019999999999992E-2</v>
      </c>
      <c r="T10">
        <f>((W10-S10)/4)+S10</f>
        <v>9.239E-2</v>
      </c>
      <c r="U10">
        <f>((W10-T10)/3)+T10</f>
        <v>9.1759999999999994E-2</v>
      </c>
      <c r="V10">
        <f>((W10-U10)/2)+U10</f>
        <v>9.1129999999999989E-2</v>
      </c>
      <c r="W10">
        <v>9.0499999999999997E-2</v>
      </c>
    </row>
    <row r="11" spans="1:23">
      <c r="A11" t="s">
        <v>74</v>
      </c>
      <c r="C11">
        <v>0.56610000000000005</v>
      </c>
      <c r="D11">
        <f>((M11-C11)/10)+C11</f>
        <v>0.53533000000000008</v>
      </c>
      <c r="E11">
        <f>((M11-D11)/9)+D11</f>
        <v>0.50456000000000012</v>
      </c>
      <c r="F11">
        <f>((M11-E11)/8)+E11</f>
        <v>0.4737900000000001</v>
      </c>
      <c r="G11">
        <f>((M11-F11)/7)+F11</f>
        <v>0.44302000000000008</v>
      </c>
      <c r="H11">
        <f>((M11-G11)/6)+G11</f>
        <v>0.41225000000000006</v>
      </c>
      <c r="I11">
        <f>((M11-H11)/5)+H11</f>
        <v>0.38148000000000004</v>
      </c>
      <c r="J11">
        <f>((M11-I11)/4)+I11</f>
        <v>0.35071000000000002</v>
      </c>
      <c r="K11">
        <f>((M11-J11)/3)+J11</f>
        <v>0.31994</v>
      </c>
      <c r="L11">
        <f>((M11-K11)/2)+K11</f>
        <v>0.28917000000000004</v>
      </c>
      <c r="M11">
        <v>0.25840000000000002</v>
      </c>
      <c r="N11">
        <f>((W11-M11)/10)+M11</f>
        <v>0.25251000000000001</v>
      </c>
      <c r="O11">
        <f>((W11-N11)/9)+N11</f>
        <v>0.24662000000000001</v>
      </c>
      <c r="P11">
        <f>((W11-O11)/8)+O11</f>
        <v>0.24073</v>
      </c>
      <c r="Q11">
        <f>((W11-P11)/7)+P11</f>
        <v>0.23483999999999999</v>
      </c>
      <c r="R11">
        <f>((W11-Q11)/6)+Q11</f>
        <v>0.22894999999999999</v>
      </c>
      <c r="S11">
        <f>((W11-R11)/5)+R11</f>
        <v>0.22305999999999998</v>
      </c>
      <c r="T11">
        <f>((W11-S11)/4)+S11</f>
        <v>0.21716999999999997</v>
      </c>
      <c r="U11">
        <f>((W11-T11)/3)+T11</f>
        <v>0.21128</v>
      </c>
      <c r="V11">
        <f>((W11-U11)/2)+U11</f>
        <v>0.20539000000000002</v>
      </c>
      <c r="W11">
        <v>0.19950000000000001</v>
      </c>
    </row>
    <row r="12" spans="1:23">
      <c r="A12" t="s">
        <v>164</v>
      </c>
      <c r="D12" s="38">
        <f>'Price Assumptions'!$B$11</f>
        <v>1700</v>
      </c>
      <c r="E12" s="38">
        <f>'Price Assumptions'!$B$11</f>
        <v>1700</v>
      </c>
      <c r="F12" s="38">
        <f>'Price Assumptions'!$B$11</f>
        <v>1700</v>
      </c>
      <c r="G12" s="38">
        <f>'Price Assumptions'!$B$11</f>
        <v>1700</v>
      </c>
      <c r="H12" s="38">
        <f>'Price Assumptions'!$B$11</f>
        <v>1700</v>
      </c>
      <c r="I12" s="38">
        <f>'Price Assumptions'!$B$11</f>
        <v>1700</v>
      </c>
      <c r="J12" s="38">
        <f>'Price Assumptions'!$B$11</f>
        <v>1700</v>
      </c>
      <c r="K12" s="38">
        <f>'Price Assumptions'!$B$11</f>
        <v>1700</v>
      </c>
      <c r="L12" s="38">
        <f>'Price Assumptions'!$B$11</f>
        <v>1700</v>
      </c>
      <c r="M12" s="38">
        <f>'Price Assumptions'!$B$11</f>
        <v>1700</v>
      </c>
      <c r="N12" s="38">
        <f>'Price Assumptions'!$B$11</f>
        <v>1700</v>
      </c>
      <c r="O12" s="38">
        <f>'Price Assumptions'!$B$11</f>
        <v>1700</v>
      </c>
      <c r="P12" s="38">
        <f>'Price Assumptions'!$B$11</f>
        <v>1700</v>
      </c>
      <c r="Q12" s="38">
        <f>'Price Assumptions'!$B$11</f>
        <v>1700</v>
      </c>
      <c r="R12" s="38">
        <f>'Price Assumptions'!$B$11</f>
        <v>1700</v>
      </c>
      <c r="S12" s="38">
        <f>'Price Assumptions'!$B$11</f>
        <v>1700</v>
      </c>
      <c r="T12" s="38">
        <f>'Price Assumptions'!$B$11</f>
        <v>1700</v>
      </c>
      <c r="U12" s="38">
        <f>'Price Assumptions'!$B$11</f>
        <v>1700</v>
      </c>
      <c r="V12" s="38">
        <f>'Price Assumptions'!$B$11</f>
        <v>1700</v>
      </c>
      <c r="W12" s="38">
        <f>'Price Assumptions'!$B$11</f>
        <v>1700</v>
      </c>
    </row>
    <row r="14" spans="1:23">
      <c r="A14" s="25" t="s">
        <v>75</v>
      </c>
      <c r="C14">
        <v>1.17E-2</v>
      </c>
      <c r="D14">
        <f>((M14-C14)/10)+C14</f>
        <v>1.166E-2</v>
      </c>
      <c r="E14">
        <f>((M14-D14)/9)+D14</f>
        <v>1.162E-2</v>
      </c>
      <c r="F14">
        <f>((M14-E14)/8)+E14</f>
        <v>1.158E-2</v>
      </c>
      <c r="G14">
        <f>((M14-F14)/7)+F14</f>
        <v>1.154E-2</v>
      </c>
      <c r="H14">
        <f>((M14-G14)/6)+G14</f>
        <v>1.15E-2</v>
      </c>
      <c r="I14">
        <f>((M14-H14)/5)+H14</f>
        <v>1.146E-2</v>
      </c>
      <c r="J14">
        <f>((M14-I14)/4)+I14</f>
        <v>1.142E-2</v>
      </c>
      <c r="K14">
        <f>((M14-J14)/3)+J14</f>
        <v>1.1379999999999999E-2</v>
      </c>
      <c r="L14">
        <f>((M14-K14)/2)+K14</f>
        <v>1.1339999999999999E-2</v>
      </c>
      <c r="M14">
        <v>1.1299999999999999E-2</v>
      </c>
      <c r="N14">
        <f>((W14-M14)/10)+M14</f>
        <v>1.1299999999999999E-2</v>
      </c>
      <c r="O14">
        <f>((W14-N14)/9)+N14</f>
        <v>1.1299999999999999E-2</v>
      </c>
      <c r="P14">
        <f>((W14-O14)/8)+O14</f>
        <v>1.1299999999999999E-2</v>
      </c>
      <c r="Q14">
        <f>((W14-P14)/7)+P14</f>
        <v>1.1299999999999999E-2</v>
      </c>
      <c r="R14">
        <f>((W14-Q14)/6)+Q14</f>
        <v>1.1299999999999999E-2</v>
      </c>
      <c r="S14">
        <f>((W14-R14)/5)+R14</f>
        <v>1.1299999999999999E-2</v>
      </c>
      <c r="T14">
        <f>((W14-S14)/4)+S14</f>
        <v>1.1299999999999999E-2</v>
      </c>
      <c r="U14">
        <f>((W14-T14)/3)+T14</f>
        <v>1.1299999999999999E-2</v>
      </c>
      <c r="V14">
        <f>((W14-U14)/2)+U14</f>
        <v>1.1299999999999999E-2</v>
      </c>
      <c r="W14">
        <v>1.1299999999999999E-2</v>
      </c>
    </row>
    <row r="15" spans="1:23">
      <c r="A15" s="111" t="s">
        <v>164</v>
      </c>
      <c r="D15" s="38">
        <f>'Price Assumptions'!$B$13</f>
        <v>168000</v>
      </c>
      <c r="E15" s="38">
        <f>'Price Assumptions'!$B$13</f>
        <v>168000</v>
      </c>
      <c r="F15" s="38">
        <f>'Price Assumptions'!$B$13</f>
        <v>168000</v>
      </c>
      <c r="G15" s="38">
        <f>'Price Assumptions'!$B$13</f>
        <v>168000</v>
      </c>
      <c r="H15" s="38">
        <f>'Price Assumptions'!$B$13</f>
        <v>168000</v>
      </c>
      <c r="I15" s="38">
        <f>'Price Assumptions'!$B$13</f>
        <v>168000</v>
      </c>
      <c r="J15" s="38">
        <f>'Price Assumptions'!$B$13</f>
        <v>168000</v>
      </c>
      <c r="K15" s="38">
        <f>'Price Assumptions'!$B$13</f>
        <v>168000</v>
      </c>
      <c r="L15" s="38">
        <f>'Price Assumptions'!$B$13</f>
        <v>168000</v>
      </c>
      <c r="M15" s="38">
        <f>'Price Assumptions'!$B$13</f>
        <v>168000</v>
      </c>
      <c r="N15" s="38">
        <f>'Price Assumptions'!$B$13</f>
        <v>168000</v>
      </c>
      <c r="O15" s="38">
        <f>'Price Assumptions'!$B$13</f>
        <v>168000</v>
      </c>
      <c r="P15" s="38">
        <f>'Price Assumptions'!$B$13</f>
        <v>168000</v>
      </c>
      <c r="Q15" s="38">
        <f>'Price Assumptions'!$B$13</f>
        <v>168000</v>
      </c>
      <c r="R15" s="38">
        <f>'Price Assumptions'!$B$13</f>
        <v>168000</v>
      </c>
      <c r="S15" s="38">
        <f>'Price Assumptions'!$B$13</f>
        <v>168000</v>
      </c>
      <c r="T15" s="38">
        <f>'Price Assumptions'!$B$13</f>
        <v>168000</v>
      </c>
      <c r="U15" s="38">
        <f>'Price Assumptions'!$B$13</f>
        <v>168000</v>
      </c>
      <c r="V15" s="38">
        <f>'Price Assumptions'!$B$13</f>
        <v>168000</v>
      </c>
      <c r="W15" s="38">
        <f>'Price Assumptions'!$B$13</f>
        <v>168000</v>
      </c>
    </row>
    <row r="17" spans="1:24">
      <c r="A17" s="25" t="s">
        <v>76</v>
      </c>
    </row>
    <row r="18" spans="1:24">
      <c r="A18" t="s">
        <v>69</v>
      </c>
      <c r="C18">
        <v>0.61319999999999997</v>
      </c>
      <c r="D18">
        <f>((M18-C18)/10)+C18</f>
        <v>0.57692999999999994</v>
      </c>
      <c r="E18">
        <f>((M18-D18)/9)+D18</f>
        <v>0.54065999999999992</v>
      </c>
      <c r="F18">
        <f>((M18-E18)/8)+E18</f>
        <v>0.50438999999999989</v>
      </c>
      <c r="G18">
        <f>((M18-F18)/7)+F18</f>
        <v>0.46811999999999993</v>
      </c>
      <c r="H18">
        <f>((M18-G18)/6)+G18</f>
        <v>0.43184999999999996</v>
      </c>
      <c r="I18">
        <f>((M18-H18)/5)+H18</f>
        <v>0.39557999999999999</v>
      </c>
      <c r="J18">
        <f>((M18-I18)/4)+I18</f>
        <v>0.35931000000000002</v>
      </c>
      <c r="K18">
        <f>((M18-J18)/3)+J18</f>
        <v>0.32303999999999999</v>
      </c>
      <c r="L18">
        <f>((M18-K18)/2)+K18</f>
        <v>0.28676999999999997</v>
      </c>
      <c r="M18">
        <v>0.2505</v>
      </c>
      <c r="N18">
        <f>((W18-M18)/10)+M18</f>
        <v>0.24349000000000001</v>
      </c>
      <c r="O18">
        <f>((W18-N18)/9)+N18</f>
        <v>0.23648000000000002</v>
      </c>
      <c r="P18">
        <f>((W18-O18)/8)+O18</f>
        <v>0.22947000000000001</v>
      </c>
      <c r="Q18">
        <f>((W18-P18)/7)+P18</f>
        <v>0.22246000000000002</v>
      </c>
      <c r="R18">
        <f>((W18-Q18)/6)+Q18</f>
        <v>0.21545000000000003</v>
      </c>
      <c r="S18">
        <f>((W18-R18)/5)+R18</f>
        <v>0.20844000000000001</v>
      </c>
      <c r="T18">
        <f>((W18-S18)/4)+S18</f>
        <v>0.20143</v>
      </c>
      <c r="U18">
        <f>((W18-T18)/3)+T18</f>
        <v>0.19442000000000001</v>
      </c>
      <c r="V18">
        <f>((W18-U18)/2)+U18</f>
        <v>0.18741000000000002</v>
      </c>
      <c r="W18">
        <v>0.1804</v>
      </c>
    </row>
    <row r="19" spans="1:24">
      <c r="A19" t="s">
        <v>77</v>
      </c>
      <c r="C19">
        <v>0.38250000000000001</v>
      </c>
      <c r="D19">
        <f>((M19-C19)/10)+C19</f>
        <v>0.35982000000000003</v>
      </c>
      <c r="E19">
        <f>((M19-D19)/9)+D19</f>
        <v>0.33714000000000005</v>
      </c>
      <c r="F19">
        <f>((M19-E19)/8)+E19</f>
        <v>0.31446000000000007</v>
      </c>
      <c r="G19">
        <f>((M19-F19)/7)+F19</f>
        <v>0.29178000000000004</v>
      </c>
      <c r="H19">
        <f>((M19-G19)/6)+G19</f>
        <v>0.26910000000000001</v>
      </c>
      <c r="I19">
        <f>((M19-H19)/5)+H19</f>
        <v>0.24642</v>
      </c>
      <c r="J19">
        <f>((M19-I19)/4)+I19</f>
        <v>0.22373999999999999</v>
      </c>
      <c r="K19">
        <f>((M19-J19)/3)+J19</f>
        <v>0.20105999999999999</v>
      </c>
      <c r="L19">
        <f>((M19-K19)/2)+K19</f>
        <v>0.17837999999999998</v>
      </c>
      <c r="M19">
        <v>0.15570000000000001</v>
      </c>
      <c r="N19">
        <f>((W19-M19)/10)+M19</f>
        <v>0.15316000000000002</v>
      </c>
      <c r="O19">
        <f>((W19-N19)/9)+N19</f>
        <v>0.15062</v>
      </c>
      <c r="P19">
        <f>((W19-O19)/8)+O19</f>
        <v>0.14807999999999999</v>
      </c>
      <c r="Q19">
        <f>((W19-P19)/7)+P19</f>
        <v>0.14554</v>
      </c>
      <c r="R19">
        <f>((W19-Q19)/6)+Q19</f>
        <v>0.14300000000000002</v>
      </c>
      <c r="S19">
        <f>((W19-R19)/5)+R19</f>
        <v>0.14046</v>
      </c>
      <c r="T19">
        <f>((W19-S19)/4)+S19</f>
        <v>0.13791999999999999</v>
      </c>
      <c r="U19">
        <f>((W19-T19)/3)+T19</f>
        <v>0.13538</v>
      </c>
      <c r="V19">
        <f>((W19-U19)/2)+U19</f>
        <v>0.13284000000000001</v>
      </c>
      <c r="W19">
        <v>0.1303</v>
      </c>
    </row>
    <row r="21" spans="1:24" ht="15.6">
      <c r="A21" s="25" t="s">
        <v>79</v>
      </c>
      <c r="C21" s="202">
        <f>'[18]CO2 RATES '!$B$14</f>
        <v>461.69728614536024</v>
      </c>
      <c r="D21">
        <f>((M21-C21)/10)+C21</f>
        <v>451.40548938056838</v>
      </c>
      <c r="E21">
        <f>((M21-D21)/9)+D21</f>
        <v>441.11369261577653</v>
      </c>
      <c r="F21">
        <f>((M21-E21)/8)+E21</f>
        <v>430.82189585098467</v>
      </c>
      <c r="G21">
        <f>((M21-F21)/7)+F21</f>
        <v>420.53009908619282</v>
      </c>
      <c r="H21">
        <f>((M21-G21)/6)+G21</f>
        <v>410.23830232140097</v>
      </c>
      <c r="I21">
        <f>((M21-H21)/5)+H21</f>
        <v>399.94650555660911</v>
      </c>
      <c r="J21">
        <f>((M21-I21)/4)+I21</f>
        <v>389.65470879181726</v>
      </c>
      <c r="K21">
        <f>((M21-J21)/3)+J21</f>
        <v>379.3629120270254</v>
      </c>
      <c r="L21">
        <f>((M21-K21)/2)+K21</f>
        <v>369.07111526223355</v>
      </c>
      <c r="M21" s="202">
        <f>'[18]CO2 RATES '!$B$24</f>
        <v>358.77931849744169</v>
      </c>
      <c r="N21">
        <f>((W21-M21)/10)+M21</f>
        <v>354.20538664769754</v>
      </c>
      <c r="O21">
        <f>((W21-N21)/9)+N21</f>
        <v>349.63145479795338</v>
      </c>
      <c r="P21">
        <f>((W21-O21)/8)+O21</f>
        <v>345.05752294820923</v>
      </c>
      <c r="Q21">
        <f>((W21-P21)/7)+P21</f>
        <v>340.48359109846507</v>
      </c>
      <c r="R21">
        <f>((W21-Q21)/6)+Q21</f>
        <v>335.90965924872091</v>
      </c>
      <c r="S21">
        <f>((W21-R21)/5)+R21</f>
        <v>331.33572739897676</v>
      </c>
      <c r="T21">
        <f>((W21-S21)/4)+S21</f>
        <v>326.7617955492326</v>
      </c>
      <c r="U21">
        <f>((W21-T21)/3)+T21</f>
        <v>322.18786369948839</v>
      </c>
      <c r="V21">
        <f>((W21-U21)/2)+U21</f>
        <v>317.61393184974418</v>
      </c>
      <c r="W21">
        <v>313.04000000000002</v>
      </c>
    </row>
    <row r="22" spans="1:24">
      <c r="A22" t="s">
        <v>328</v>
      </c>
      <c r="C22" s="203" t="e">
        <f>C23/'Bike Sharing CBA'!#REF!</f>
        <v>#REF!</v>
      </c>
      <c r="D22" s="203">
        <f>D23/'Bike Sharing CBA'!F46</f>
        <v>23.212491999999997</v>
      </c>
      <c r="E22" s="203">
        <f>E23/'Bike Sharing CBA'!G46</f>
        <v>24.433375719999997</v>
      </c>
      <c r="F22" s="203">
        <f>F23/'Bike Sharing CBA'!H46</f>
        <v>25.706621220399999</v>
      </c>
      <c r="G22" s="203">
        <f>G23/'Bike Sharing CBA'!I46</f>
        <v>27.034271412675995</v>
      </c>
      <c r="H22" s="203">
        <f>H23/'Bike Sharing CBA'!J46</f>
        <v>28.418444657390197</v>
      </c>
      <c r="I22" s="203">
        <f>I23/'Bike Sharing CBA'!K46</f>
        <v>29.885934929824341</v>
      </c>
      <c r="J22" s="203">
        <f>J23/'Bike Sharing CBA'!L46</f>
        <v>31.415898018412879</v>
      </c>
      <c r="K22" s="203">
        <f>K23/'Bike Sharing CBA'!M46</f>
        <v>33.010761550879884</v>
      </c>
      <c r="L22" s="203">
        <f>L23/'Bike Sharing CBA'!N46</f>
        <v>34.673042587078342</v>
      </c>
      <c r="M22" s="203">
        <f>M23/'Bike Sharing CBA'!O46</f>
        <v>36.405350800052915</v>
      </c>
      <c r="N22" s="203">
        <f>N23/'Bike Sharing CBA'!P46</f>
        <v>38.438513509372974</v>
      </c>
      <c r="O22" s="203">
        <f>O23/'Bike Sharing CBA'!Q46</f>
        <v>40.560901165532194</v>
      </c>
      <c r="P22" s="203">
        <f>P23/'Bike Sharing CBA'!R46</f>
        <v>42.77603741890254</v>
      </c>
      <c r="Q22" s="203">
        <f>Q23/'Bike Sharing CBA'!S46</f>
        <v>45.087577036426126</v>
      </c>
      <c r="R22" s="203">
        <f>R23/'Bike Sharing CBA'!T46</f>
        <v>47.499310597324104</v>
      </c>
      <c r="S22" s="203">
        <f>S23/'Bike Sharing CBA'!U46</f>
        <v>49.982112399897744</v>
      </c>
      <c r="T22" s="203">
        <f>T23/'Bike Sharing CBA'!V46</f>
        <v>52.571132931088222</v>
      </c>
      <c r="U22" s="203">
        <f>U23/'Bike Sharing CBA'!W46</f>
        <v>55.270510792990201</v>
      </c>
      <c r="V22" s="203">
        <f>V23/'Bike Sharing CBA'!X46</f>
        <v>58.084537306968322</v>
      </c>
      <c r="W22" s="203">
        <f>W23/'Bike Sharing CBA'!Y46</f>
        <v>61.01766195207145</v>
      </c>
    </row>
    <row r="23" spans="1:24">
      <c r="A23" t="s">
        <v>326</v>
      </c>
      <c r="C23" s="203">
        <v>21.4</v>
      </c>
      <c r="D23" s="203">
        <f>C23+(($H$23-C23)/($H$1-C1))</f>
        <v>21.88</v>
      </c>
      <c r="E23" s="203">
        <f t="shared" ref="E23:G23" si="0">D23+(($H$23-D23)/($H$1-D1))</f>
        <v>22.36</v>
      </c>
      <c r="F23" s="203">
        <f t="shared" si="0"/>
        <v>22.84</v>
      </c>
      <c r="G23" s="203">
        <f t="shared" si="0"/>
        <v>23.32</v>
      </c>
      <c r="H23" s="203">
        <v>23.8</v>
      </c>
      <c r="I23" s="203">
        <f>H23+(($M$23-H23)/($M$1-H1))</f>
        <v>24.3</v>
      </c>
      <c r="J23" s="203">
        <f t="shared" ref="J23:L23" si="1">I23+(($M$23-I23)/($M$1-I1))</f>
        <v>24.8</v>
      </c>
      <c r="K23" s="203">
        <f t="shared" si="1"/>
        <v>25.3</v>
      </c>
      <c r="L23" s="203">
        <f t="shared" si="1"/>
        <v>25.8</v>
      </c>
      <c r="M23" s="203">
        <v>26.3</v>
      </c>
      <c r="N23" s="203">
        <f>M23+(($R$23-M23)/($R$1-M1))</f>
        <v>26.96</v>
      </c>
      <c r="O23" s="203">
        <f t="shared" ref="O23:Q23" si="2">N23+(($R$23-N23)/($R$1-N1))</f>
        <v>27.62</v>
      </c>
      <c r="P23" s="203">
        <f t="shared" si="2"/>
        <v>28.28</v>
      </c>
      <c r="Q23" s="203">
        <f t="shared" si="2"/>
        <v>28.94</v>
      </c>
      <c r="R23" s="203">
        <v>29.6</v>
      </c>
      <c r="S23" s="203">
        <f>R23+(($W$23-R23)/($W$1-R1))</f>
        <v>30.240000000000002</v>
      </c>
      <c r="T23" s="203">
        <f t="shared" ref="T23:V23" si="3">S23+(($W$23-S23)/($W$1-S1))</f>
        <v>30.880000000000003</v>
      </c>
      <c r="U23" s="203">
        <f t="shared" si="3"/>
        <v>31.52</v>
      </c>
      <c r="V23" s="203">
        <f t="shared" si="3"/>
        <v>32.159999999999997</v>
      </c>
      <c r="W23" s="203">
        <v>32.799999999999997</v>
      </c>
      <c r="X23" t="s">
        <v>327</v>
      </c>
    </row>
    <row r="25" spans="1:24">
      <c r="A25" t="s">
        <v>78</v>
      </c>
    </row>
    <row r="26" spans="1:24">
      <c r="A26" t="s">
        <v>66</v>
      </c>
      <c r="B26" t="s">
        <v>67</v>
      </c>
    </row>
    <row r="27" spans="1:24">
      <c r="G27" s="24"/>
    </row>
  </sheetData>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sheetPr>
  <dimension ref="A1:H41"/>
  <sheetViews>
    <sheetView workbookViewId="0">
      <selection activeCell="B25" sqref="B25"/>
    </sheetView>
  </sheetViews>
  <sheetFormatPr defaultRowHeight="13.2"/>
  <cols>
    <col min="1" max="1" width="45" bestFit="1" customWidth="1"/>
    <col min="2" max="2" width="12.6640625" bestFit="1" customWidth="1"/>
    <col min="3" max="3" width="12.5546875" customWidth="1"/>
    <col min="4" max="4" width="12.6640625" customWidth="1"/>
    <col min="5" max="5" width="9.109375" style="96"/>
    <col min="6" max="6" width="13.109375" style="96" bestFit="1" customWidth="1"/>
    <col min="7" max="7" width="14.33203125" style="96" bestFit="1" customWidth="1"/>
    <col min="8" max="8" width="104.88671875" style="32" bestFit="1" customWidth="1"/>
  </cols>
  <sheetData>
    <row r="1" spans="1:8">
      <c r="C1" s="8">
        <v>10</v>
      </c>
      <c r="D1" s="8">
        <v>90</v>
      </c>
      <c r="H1" s="28"/>
    </row>
    <row r="2" spans="1:8">
      <c r="A2" s="9" t="s">
        <v>49</v>
      </c>
      <c r="B2" s="9" t="s">
        <v>50</v>
      </c>
      <c r="C2" s="9" t="s">
        <v>51</v>
      </c>
      <c r="D2" s="9" t="s">
        <v>52</v>
      </c>
      <c r="E2" s="9" t="s">
        <v>53</v>
      </c>
      <c r="F2" s="9" t="s">
        <v>236</v>
      </c>
      <c r="G2" s="9" t="s">
        <v>237</v>
      </c>
      <c r="H2" s="29" t="s">
        <v>54</v>
      </c>
    </row>
    <row r="3" spans="1:8">
      <c r="A3" s="10" t="s">
        <v>413</v>
      </c>
      <c r="B3" s="11">
        <v>13.91</v>
      </c>
      <c r="C3" s="11"/>
      <c r="D3" s="12"/>
      <c r="E3" s="13">
        <v>2009</v>
      </c>
      <c r="F3" s="13">
        <v>2000</v>
      </c>
      <c r="G3" s="13">
        <v>11.2</v>
      </c>
      <c r="H3" s="120" t="s">
        <v>235</v>
      </c>
    </row>
    <row r="4" spans="1:8">
      <c r="A4" s="10" t="s">
        <v>414</v>
      </c>
      <c r="B4" s="11">
        <v>13.91</v>
      </c>
      <c r="C4" s="11"/>
      <c r="D4" s="12"/>
      <c r="E4" s="13">
        <v>2009</v>
      </c>
      <c r="F4" s="13">
        <v>2000</v>
      </c>
      <c r="G4" s="13">
        <v>11.2</v>
      </c>
      <c r="H4" s="30" t="s">
        <v>235</v>
      </c>
    </row>
    <row r="5" spans="1:8">
      <c r="A5" s="10" t="s">
        <v>55</v>
      </c>
      <c r="B5" s="11">
        <v>13.91</v>
      </c>
      <c r="C5" s="12"/>
      <c r="D5" s="12"/>
      <c r="E5" s="13">
        <v>2009</v>
      </c>
      <c r="F5" s="13">
        <v>2000</v>
      </c>
      <c r="G5" s="13">
        <v>11.2</v>
      </c>
      <c r="H5" s="152" t="s">
        <v>239</v>
      </c>
    </row>
    <row r="6" spans="1:8">
      <c r="A6" s="10" t="s">
        <v>168</v>
      </c>
      <c r="B6" s="11">
        <v>13.91</v>
      </c>
      <c r="C6" s="12"/>
      <c r="D6" s="12"/>
      <c r="E6" s="13">
        <v>2009</v>
      </c>
      <c r="F6" s="13">
        <v>2000</v>
      </c>
      <c r="G6" s="13">
        <v>11.2</v>
      </c>
      <c r="H6" s="30" t="s">
        <v>235</v>
      </c>
    </row>
    <row r="7" spans="1:8">
      <c r="A7" s="10" t="s">
        <v>238</v>
      </c>
      <c r="B7" s="11">
        <f>G7/0.805</f>
        <v>26.211180124223603</v>
      </c>
      <c r="C7" s="12"/>
      <c r="D7" s="12"/>
      <c r="E7" s="13">
        <v>2009</v>
      </c>
      <c r="F7" s="13">
        <v>2000</v>
      </c>
      <c r="G7" s="13">
        <v>21.1</v>
      </c>
      <c r="H7" s="30" t="s">
        <v>235</v>
      </c>
    </row>
    <row r="8" spans="1:8">
      <c r="A8" s="10" t="s">
        <v>82</v>
      </c>
      <c r="B8" s="136">
        <f>'Auto Operating Assumptions'!E13</f>
        <v>0.33700000000000002</v>
      </c>
      <c r="C8" s="14"/>
      <c r="D8" s="14"/>
      <c r="E8" s="15"/>
      <c r="F8" s="15"/>
      <c r="G8" s="15"/>
      <c r="H8" s="30" t="s">
        <v>191</v>
      </c>
    </row>
    <row r="9" spans="1:8">
      <c r="A9" s="10" t="s">
        <v>83</v>
      </c>
      <c r="B9" s="136">
        <f>B21/1.5</f>
        <v>0.93068503569728056</v>
      </c>
      <c r="C9" s="14"/>
      <c r="D9" s="14"/>
      <c r="E9" s="15"/>
      <c r="F9" s="15"/>
      <c r="G9" s="15"/>
      <c r="H9" s="30" t="s">
        <v>321</v>
      </c>
    </row>
    <row r="10" spans="1:8">
      <c r="A10" s="10" t="s">
        <v>84</v>
      </c>
      <c r="B10" s="16">
        <f>'Bike Operating Assumptions'!E21</f>
        <v>9.1114621186678443E-2</v>
      </c>
      <c r="C10" s="1"/>
      <c r="D10" s="1"/>
      <c r="E10" s="13"/>
      <c r="F10" s="13"/>
      <c r="G10" s="13"/>
      <c r="H10" s="30" t="s">
        <v>322</v>
      </c>
    </row>
    <row r="11" spans="1:8">
      <c r="A11" s="18" t="s">
        <v>56</v>
      </c>
      <c r="B11" s="19">
        <v>1700</v>
      </c>
      <c r="C11" s="16"/>
      <c r="D11" s="16"/>
      <c r="E11" s="13">
        <v>2009</v>
      </c>
      <c r="F11" s="13"/>
      <c r="G11" s="13"/>
      <c r="H11" s="30" t="s">
        <v>317</v>
      </c>
    </row>
    <row r="12" spans="1:8">
      <c r="A12" s="18" t="s">
        <v>57</v>
      </c>
      <c r="B12" s="19">
        <v>4000</v>
      </c>
      <c r="C12" s="16"/>
      <c r="D12" s="16"/>
      <c r="E12" s="13">
        <v>2009</v>
      </c>
      <c r="F12" s="13"/>
      <c r="G12" s="13"/>
      <c r="H12" s="30" t="s">
        <v>317</v>
      </c>
    </row>
    <row r="13" spans="1:8">
      <c r="A13" s="18" t="s">
        <v>58</v>
      </c>
      <c r="B13" s="19">
        <v>168000</v>
      </c>
      <c r="C13" s="16"/>
      <c r="D13" s="16"/>
      <c r="E13" s="13">
        <v>2009</v>
      </c>
      <c r="F13" s="13"/>
      <c r="G13" s="13"/>
      <c r="H13" s="30" t="s">
        <v>317</v>
      </c>
    </row>
    <row r="14" spans="1:8">
      <c r="A14" s="20" t="s">
        <v>59</v>
      </c>
      <c r="B14" s="19">
        <v>33</v>
      </c>
      <c r="C14" s="21"/>
      <c r="D14" s="21"/>
      <c r="E14" s="22">
        <v>2009</v>
      </c>
      <c r="F14" s="22"/>
      <c r="G14" s="22"/>
      <c r="H14" s="30" t="s">
        <v>317</v>
      </c>
    </row>
    <row r="15" spans="1:8">
      <c r="A15" s="23" t="s">
        <v>60</v>
      </c>
      <c r="B15" s="17">
        <f>B3*0.6</f>
        <v>8.3460000000000001</v>
      </c>
      <c r="C15" s="17">
        <f>C3*0.6</f>
        <v>0</v>
      </c>
      <c r="D15" s="17">
        <f>D3*0.6</f>
        <v>0</v>
      </c>
      <c r="E15" s="13">
        <v>2008</v>
      </c>
      <c r="F15" s="13"/>
      <c r="G15" s="13"/>
      <c r="H15" s="30" t="s">
        <v>61</v>
      </c>
    </row>
    <row r="16" spans="1:8">
      <c r="A16" s="23" t="s">
        <v>399</v>
      </c>
      <c r="B16" s="17">
        <v>1.65</v>
      </c>
      <c r="C16" s="17"/>
      <c r="D16" s="17"/>
      <c r="E16" s="13">
        <v>2009</v>
      </c>
      <c r="F16" s="13"/>
      <c r="G16" s="13"/>
      <c r="H16" s="30" t="s">
        <v>81</v>
      </c>
    </row>
    <row r="17" spans="1:8">
      <c r="A17" s="23" t="s">
        <v>400</v>
      </c>
      <c r="B17" s="17">
        <v>1.35</v>
      </c>
      <c r="C17" s="17"/>
      <c r="D17" s="17"/>
      <c r="E17" s="13">
        <v>2009</v>
      </c>
      <c r="F17" s="13"/>
      <c r="G17" s="13"/>
      <c r="H17" s="30" t="s">
        <v>81</v>
      </c>
    </row>
    <row r="18" spans="1:8">
      <c r="A18" s="23" t="s">
        <v>212</v>
      </c>
      <c r="B18" s="17">
        <f>((B16*('Other Mode Assumptions'!D10/'Other Mode Assumptions'!D12))+(B17*('Other Mode Assumptions'!D11/'Other Mode Assumptions'!D12)))</f>
        <v>1.5145460654196155</v>
      </c>
      <c r="C18" s="17"/>
      <c r="D18" s="17"/>
      <c r="E18" s="13">
        <v>2009</v>
      </c>
      <c r="F18" s="13"/>
      <c r="G18" s="13"/>
      <c r="H18" s="30" t="s">
        <v>81</v>
      </c>
    </row>
    <row r="19" spans="1:8">
      <c r="A19" s="23" t="s">
        <v>401</v>
      </c>
      <c r="B19" s="17">
        <f>((3.55*('Other Mode Assumptions'!D10/'Other Mode Assumptions'!D12))+(2.15*('Other Mode Assumptions'!D11/'Other Mode Assumptions'!D12)))</f>
        <v>2.9178816386248716</v>
      </c>
      <c r="C19" s="17"/>
      <c r="D19" s="17"/>
      <c r="E19" s="13"/>
      <c r="F19" s="13"/>
      <c r="G19" s="13"/>
      <c r="H19" s="30" t="s">
        <v>81</v>
      </c>
    </row>
    <row r="20" spans="1:8">
      <c r="A20" s="23" t="s">
        <v>226</v>
      </c>
      <c r="B20" s="17">
        <f>(1.25*0.58)+(1.35*0.42)</f>
        <v>1.292</v>
      </c>
      <c r="C20" s="17"/>
      <c r="D20" s="17"/>
      <c r="E20" s="13">
        <v>2009</v>
      </c>
      <c r="F20" s="13"/>
      <c r="G20" s="13"/>
      <c r="H20" s="134" t="s">
        <v>211</v>
      </c>
    </row>
    <row r="21" spans="1:8">
      <c r="A21" s="23" t="s">
        <v>227</v>
      </c>
      <c r="B21" s="17">
        <f>(B18*'Other Mode Assumptions'!D17)+('Other Mode Assumptions'!D16*'Price Assumptions'!B20)</f>
        <v>1.3960275535459208</v>
      </c>
      <c r="C21" s="16"/>
      <c r="D21" s="16"/>
      <c r="E21" s="13">
        <v>2009</v>
      </c>
      <c r="F21" s="13"/>
      <c r="G21" s="13"/>
      <c r="H21" s="30" t="s">
        <v>81</v>
      </c>
    </row>
    <row r="22" spans="1:8">
      <c r="A22" s="23" t="s">
        <v>402</v>
      </c>
      <c r="B22" s="17">
        <f>(B19*'Other Mode Assumptions'!D17)+('Other Mode Assumptions'!D16*'Price Assumptions'!B21)</f>
        <v>2.107407271835358</v>
      </c>
      <c r="C22" s="16"/>
      <c r="D22" s="16"/>
      <c r="E22" s="13"/>
      <c r="F22" s="13"/>
      <c r="G22" s="13"/>
      <c r="H22" s="30"/>
    </row>
    <row r="23" spans="1:8">
      <c r="A23" s="23" t="s">
        <v>225</v>
      </c>
      <c r="B23" s="17">
        <v>5</v>
      </c>
      <c r="C23" s="16"/>
      <c r="D23" s="16"/>
      <c r="E23" s="13">
        <v>2009</v>
      </c>
      <c r="F23" s="13"/>
      <c r="G23" s="13"/>
      <c r="H23" s="30" t="s">
        <v>318</v>
      </c>
    </row>
    <row r="24" spans="1:8" ht="17.25" customHeight="1">
      <c r="A24" s="23" t="s">
        <v>62</v>
      </c>
      <c r="B24" s="17">
        <v>14</v>
      </c>
      <c r="C24" s="16"/>
      <c r="D24" s="16"/>
      <c r="E24" s="13">
        <v>2009</v>
      </c>
      <c r="F24" s="13"/>
      <c r="G24" s="13"/>
      <c r="H24" s="31" t="s">
        <v>175</v>
      </c>
    </row>
    <row r="25" spans="1:8" ht="26.4">
      <c r="A25" s="112" t="s">
        <v>291</v>
      </c>
      <c r="B25" s="16">
        <f>G25/1.007</f>
        <v>5.4413625171743009E-2</v>
      </c>
      <c r="C25" s="16"/>
      <c r="D25" s="16">
        <f>330/365</f>
        <v>0.90410958904109584</v>
      </c>
      <c r="E25" s="13">
        <v>2009</v>
      </c>
      <c r="F25" s="13">
        <v>2008</v>
      </c>
      <c r="G25" s="13">
        <f>20/365</f>
        <v>5.4794520547945202E-2</v>
      </c>
      <c r="H25" s="30" t="s">
        <v>80</v>
      </c>
    </row>
    <row r="26" spans="1:8" ht="26.4">
      <c r="A26" s="112" t="s">
        <v>16</v>
      </c>
      <c r="B26" s="1">
        <v>0.2</v>
      </c>
      <c r="C26" s="1"/>
      <c r="D26" s="1">
        <v>0.5</v>
      </c>
      <c r="E26" s="13"/>
      <c r="F26" s="13"/>
      <c r="G26" s="13"/>
      <c r="H26" s="30" t="s">
        <v>320</v>
      </c>
    </row>
    <row r="27" spans="1:8" ht="26.4">
      <c r="A27" s="112" t="s">
        <v>17</v>
      </c>
      <c r="B27" s="107">
        <f>G27/1.007</f>
        <v>13.622273645589642</v>
      </c>
      <c r="C27" s="16"/>
      <c r="D27" s="16">
        <f>D25*(1/15)*('Bike Operating Assumptions'!E10*D26)</f>
        <v>569.81318493150684</v>
      </c>
      <c r="E27" s="13">
        <v>2009</v>
      </c>
      <c r="F27" s="13">
        <v>2008</v>
      </c>
      <c r="G27" s="16">
        <f>B25*(1/15)*('Bike Operating Assumptions'!E10*B26)</f>
        <v>13.717629561108769</v>
      </c>
      <c r="H27" s="30" t="s">
        <v>319</v>
      </c>
    </row>
    <row r="28" spans="1:8">
      <c r="A28" s="36" t="s">
        <v>92</v>
      </c>
      <c r="B28" s="16">
        <f>(400*0.25*0.65)*12</f>
        <v>780</v>
      </c>
      <c r="C28" s="16"/>
      <c r="D28" s="16">
        <f>(400*0.25)*12</f>
        <v>1200</v>
      </c>
      <c r="E28" s="113">
        <v>2009</v>
      </c>
      <c r="F28" s="113"/>
      <c r="G28" s="113"/>
      <c r="H28" s="30" t="s">
        <v>81</v>
      </c>
    </row>
    <row r="29" spans="1:8">
      <c r="A29" s="36" t="s">
        <v>89</v>
      </c>
      <c r="B29" s="149" t="e">
        <f>(('Other Mode Assumptions'!#REF!+'Other Mode Assumptions'!D40)-('Bike Operating Assumptions'!E34+'Bike Operating Assumptions'!E21))</f>
        <v>#REF!</v>
      </c>
      <c r="C29" s="1"/>
      <c r="D29" s="1"/>
      <c r="E29" s="13">
        <v>2009</v>
      </c>
      <c r="F29" s="13"/>
      <c r="G29" s="13"/>
      <c r="H29" s="30" t="s">
        <v>323</v>
      </c>
    </row>
    <row r="30" spans="1:8">
      <c r="A30" s="1" t="s">
        <v>169</v>
      </c>
      <c r="B30" s="114">
        <v>5.3999999999999999E-2</v>
      </c>
      <c r="C30" s="1"/>
      <c r="D30" s="1"/>
      <c r="E30" s="13">
        <v>2009</v>
      </c>
      <c r="F30" s="13"/>
      <c r="G30" s="13"/>
      <c r="H30" s="30" t="s">
        <v>63</v>
      </c>
    </row>
    <row r="31" spans="1:8">
      <c r="A31" s="1" t="s">
        <v>170</v>
      </c>
      <c r="B31" s="16">
        <v>2.3E-2</v>
      </c>
      <c r="C31" s="1"/>
      <c r="D31" s="1"/>
      <c r="E31" s="13">
        <v>2009</v>
      </c>
      <c r="F31" s="13"/>
      <c r="G31" s="13"/>
      <c r="H31" s="30" t="s">
        <v>63</v>
      </c>
    </row>
    <row r="32" spans="1:8">
      <c r="A32" s="1" t="s">
        <v>171</v>
      </c>
      <c r="B32" s="73">
        <v>3.33</v>
      </c>
      <c r="C32" s="1"/>
      <c r="D32" s="1"/>
      <c r="E32" s="13">
        <v>2009</v>
      </c>
      <c r="F32" s="13"/>
      <c r="G32" s="13"/>
      <c r="H32" s="30" t="s">
        <v>63</v>
      </c>
    </row>
    <row r="33" spans="1:8">
      <c r="A33" s="1" t="s">
        <v>172</v>
      </c>
      <c r="B33" s="73">
        <v>3.48</v>
      </c>
      <c r="C33" s="1"/>
      <c r="D33" s="1"/>
      <c r="E33" s="13">
        <v>2009</v>
      </c>
      <c r="F33" s="13"/>
      <c r="G33" s="13"/>
      <c r="H33" s="30" t="s">
        <v>63</v>
      </c>
    </row>
    <row r="34" spans="1:8">
      <c r="A34" s="155" t="s">
        <v>254</v>
      </c>
      <c r="B34" s="1"/>
      <c r="C34" s="1"/>
      <c r="D34" s="1"/>
      <c r="E34" s="13"/>
      <c r="F34" s="13"/>
      <c r="G34" s="13"/>
      <c r="H34" s="30" t="s">
        <v>317</v>
      </c>
    </row>
    <row r="35" spans="1:8">
      <c r="A35" s="154" t="s">
        <v>255</v>
      </c>
      <c r="B35" s="1">
        <f>0.002*6000000</f>
        <v>12000</v>
      </c>
      <c r="C35" s="1"/>
      <c r="D35" s="1"/>
      <c r="E35" s="13">
        <v>2009</v>
      </c>
      <c r="F35" s="13"/>
      <c r="G35" s="13"/>
      <c r="H35" s="156"/>
    </row>
    <row r="36" spans="1:8">
      <c r="A36" s="154" t="s">
        <v>256</v>
      </c>
      <c r="B36" s="1">
        <f>0.0155*6000000</f>
        <v>93000</v>
      </c>
      <c r="C36" s="1"/>
      <c r="D36" s="1"/>
      <c r="E36" s="13">
        <v>2009</v>
      </c>
      <c r="F36" s="13"/>
      <c r="G36" s="13"/>
      <c r="H36" s="156"/>
    </row>
    <row r="37" spans="1:8">
      <c r="A37" s="154" t="s">
        <v>257</v>
      </c>
      <c r="B37" s="1">
        <f>0.0575*6000000</f>
        <v>345000</v>
      </c>
      <c r="C37" s="1"/>
      <c r="D37" s="1"/>
      <c r="E37" s="13">
        <v>2009</v>
      </c>
      <c r="F37" s="13"/>
      <c r="G37" s="13"/>
      <c r="H37" s="156"/>
    </row>
    <row r="38" spans="1:8">
      <c r="A38" s="154" t="s">
        <v>258</v>
      </c>
      <c r="B38" s="1">
        <f>0.1875*6000000</f>
        <v>1125000</v>
      </c>
      <c r="C38" s="1"/>
      <c r="D38" s="1"/>
      <c r="E38" s="13">
        <v>2009</v>
      </c>
      <c r="F38" s="13"/>
      <c r="G38" s="13"/>
      <c r="H38" s="156"/>
    </row>
    <row r="39" spans="1:8">
      <c r="A39" s="154" t="s">
        <v>259</v>
      </c>
      <c r="B39" s="1">
        <f>0.7625*6000000</f>
        <v>4575000</v>
      </c>
      <c r="C39" s="1"/>
      <c r="D39" s="1"/>
      <c r="E39" s="13">
        <v>2009</v>
      </c>
      <c r="F39" s="13"/>
      <c r="G39" s="13"/>
      <c r="H39" s="156"/>
    </row>
    <row r="40" spans="1:8">
      <c r="A40" s="154" t="s">
        <v>316</v>
      </c>
      <c r="B40" s="1">
        <f>1*6000000</f>
        <v>6000000</v>
      </c>
      <c r="C40" s="1"/>
      <c r="D40" s="1"/>
      <c r="E40" s="13">
        <v>2009</v>
      </c>
      <c r="F40" s="13"/>
      <c r="G40" s="13"/>
      <c r="H40" s="156"/>
    </row>
    <row r="41" spans="1:8">
      <c r="A41" s="169" t="s">
        <v>289</v>
      </c>
      <c r="B41" s="170">
        <v>80000</v>
      </c>
      <c r="C41" s="1"/>
      <c r="D41" s="1"/>
      <c r="E41" s="13">
        <v>2009</v>
      </c>
      <c r="F41" s="13"/>
      <c r="G41" s="13"/>
      <c r="H41" s="30" t="s">
        <v>81</v>
      </c>
    </row>
  </sheetData>
  <phoneticPr fontId="18" type="noConversion"/>
  <hyperlinks>
    <hyperlink ref="H5" r:id="rId1"/>
  </hyperlinks>
  <pageMargins left="0.75" right="0.75" top="1" bottom="1" header="0.5" footer="0.5"/>
  <pageSetup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X32"/>
  <sheetViews>
    <sheetView workbookViewId="0">
      <selection activeCell="B34" sqref="B34"/>
    </sheetView>
  </sheetViews>
  <sheetFormatPr defaultRowHeight="13.2"/>
  <cols>
    <col min="1" max="1" width="12.33203125" bestFit="1" customWidth="1"/>
    <col min="2" max="2" width="75" bestFit="1" customWidth="1"/>
    <col min="3" max="3" width="46.6640625" style="27" bestFit="1" customWidth="1"/>
    <col min="4" max="4" width="9.109375" style="27"/>
    <col min="5" max="5" width="8.33203125" bestFit="1" customWidth="1"/>
    <col min="6" max="6" width="45.5546875" bestFit="1" customWidth="1"/>
    <col min="7" max="8" width="9.109375" style="27"/>
    <col min="9" max="9" width="5.6640625" bestFit="1" customWidth="1"/>
    <col min="10" max="10" width="23.6640625" bestFit="1" customWidth="1"/>
    <col min="11" max="24" width="9.109375" style="27"/>
  </cols>
  <sheetData>
    <row r="1" spans="1:3">
      <c r="A1" s="4" t="s">
        <v>288</v>
      </c>
    </row>
    <row r="2" spans="1:3">
      <c r="A2" s="40" t="s">
        <v>0</v>
      </c>
      <c r="B2" s="41"/>
      <c r="C2" s="41" t="s">
        <v>54</v>
      </c>
    </row>
    <row r="3" spans="1:3">
      <c r="A3" s="2"/>
      <c r="B3" s="3" t="s">
        <v>103</v>
      </c>
      <c r="C3" s="50" t="s">
        <v>104</v>
      </c>
    </row>
    <row r="4" spans="1:3">
      <c r="A4" s="2"/>
      <c r="B4" s="3" t="s">
        <v>116</v>
      </c>
      <c r="C4" s="50"/>
    </row>
    <row r="5" spans="1:3">
      <c r="A5" s="2"/>
      <c r="B5" s="3" t="s">
        <v>290</v>
      </c>
      <c r="C5" s="2"/>
    </row>
    <row r="6" spans="1:3">
      <c r="A6" s="2"/>
      <c r="B6" s="3" t="s">
        <v>7</v>
      </c>
      <c r="C6" s="2"/>
    </row>
    <row r="7" spans="1:3">
      <c r="A7" s="2"/>
      <c r="B7" s="2" t="s">
        <v>9</v>
      </c>
      <c r="C7" s="2"/>
    </row>
    <row r="8" spans="1:3">
      <c r="A8" s="2"/>
      <c r="B8" s="3"/>
      <c r="C8" s="2"/>
    </row>
    <row r="10" spans="1:3">
      <c r="A10" s="40" t="s">
        <v>1</v>
      </c>
      <c r="B10" s="41"/>
    </row>
    <row r="11" spans="1:3">
      <c r="A11" s="2"/>
      <c r="B11" s="2" t="s">
        <v>3</v>
      </c>
    </row>
    <row r="12" spans="1:3">
      <c r="A12" s="2"/>
      <c r="B12" s="2" t="s">
        <v>5</v>
      </c>
    </row>
    <row r="13" spans="1:3">
      <c r="A13" s="2"/>
      <c r="B13" s="2" t="s">
        <v>6</v>
      </c>
    </row>
    <row r="14" spans="1:3">
      <c r="A14" s="2"/>
      <c r="B14" s="2" t="s">
        <v>8</v>
      </c>
    </row>
    <row r="15" spans="1:3">
      <c r="A15" s="2"/>
      <c r="B15" s="2" t="s">
        <v>10</v>
      </c>
    </row>
    <row r="16" spans="1:3">
      <c r="A16" s="2"/>
      <c r="B16" s="2" t="s">
        <v>11</v>
      </c>
    </row>
    <row r="17" spans="1:2">
      <c r="A17" s="2"/>
      <c r="B17" s="2" t="s">
        <v>12</v>
      </c>
    </row>
    <row r="18" spans="1:2">
      <c r="A18" s="2"/>
      <c r="B18" s="2" t="s">
        <v>13</v>
      </c>
    </row>
    <row r="19" spans="1:2">
      <c r="A19" s="2"/>
      <c r="B19" s="2" t="s">
        <v>14</v>
      </c>
    </row>
    <row r="20" spans="1:2">
      <c r="A20" s="2"/>
      <c r="B20" s="2"/>
    </row>
    <row r="22" spans="1:2">
      <c r="A22" s="40" t="s">
        <v>2</v>
      </c>
      <c r="B22" s="41"/>
    </row>
    <row r="23" spans="1:2">
      <c r="A23" s="2"/>
      <c r="B23" s="2" t="s">
        <v>4</v>
      </c>
    </row>
    <row r="24" spans="1:2">
      <c r="A24" s="2"/>
      <c r="B24" s="2" t="s">
        <v>97</v>
      </c>
    </row>
    <row r="25" spans="1:2">
      <c r="A25" s="2"/>
      <c r="B25" s="2"/>
    </row>
    <row r="26" spans="1:2">
      <c r="A26" s="27"/>
      <c r="B26" s="27"/>
    </row>
    <row r="27" spans="1:2">
      <c r="A27" s="44" t="s">
        <v>378</v>
      </c>
      <c r="B27" s="27"/>
    </row>
    <row r="28" spans="1:2">
      <c r="A28" s="27"/>
      <c r="B28" s="167" t="s">
        <v>379</v>
      </c>
    </row>
    <row r="29" spans="1:2">
      <c r="A29" s="27"/>
      <c r="B29" s="167" t="s">
        <v>380</v>
      </c>
    </row>
    <row r="31" spans="1:2">
      <c r="B31" s="111" t="s">
        <v>381</v>
      </c>
    </row>
    <row r="32" spans="1:2">
      <c r="B32" s="111" t="s">
        <v>382</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Z205"/>
  <sheetViews>
    <sheetView zoomScaleNormal="100" workbookViewId="0">
      <pane xSplit="4" ySplit="2" topLeftCell="E48" activePane="bottomRight" state="frozen"/>
      <selection pane="topRight" activeCell="E1" sqref="E1"/>
      <selection pane="bottomLeft" activeCell="A3" sqref="A3"/>
      <selection pane="bottomRight" activeCell="E57" sqref="E57"/>
    </sheetView>
  </sheetViews>
  <sheetFormatPr defaultRowHeight="13.2"/>
  <cols>
    <col min="1" max="1" width="18.33203125" customWidth="1"/>
    <col min="2" max="2" width="36.44140625" style="64" customWidth="1"/>
    <col min="3" max="3" width="10.6640625" customWidth="1"/>
    <col min="5" max="5" width="13.44140625" style="139" bestFit="1" customWidth="1"/>
    <col min="6" max="6" width="13.44140625" style="27" customWidth="1"/>
    <col min="7" max="7" width="16.44140625" style="100" bestFit="1" customWidth="1"/>
    <col min="8" max="8" width="15" bestFit="1" customWidth="1"/>
    <col min="9" max="21" width="12.5546875" bestFit="1" customWidth="1"/>
    <col min="22" max="22" width="11.88671875" bestFit="1" customWidth="1"/>
    <col min="23" max="25" width="12.5546875" bestFit="1" customWidth="1"/>
  </cols>
  <sheetData>
    <row r="1" spans="1:26" s="96" customFormat="1">
      <c r="A1" s="94"/>
      <c r="B1" s="95"/>
      <c r="C1" s="94"/>
      <c r="D1" s="94"/>
      <c r="E1" s="138"/>
      <c r="F1" s="99">
        <v>2011</v>
      </c>
      <c r="G1" s="99">
        <v>2012</v>
      </c>
      <c r="H1" s="94">
        <v>2013</v>
      </c>
      <c r="I1" s="94">
        <v>2014</v>
      </c>
      <c r="J1" s="94">
        <v>2015</v>
      </c>
      <c r="K1" s="94">
        <v>2016</v>
      </c>
      <c r="L1" s="94">
        <v>2017</v>
      </c>
      <c r="M1" s="94">
        <v>2018</v>
      </c>
      <c r="N1" s="94">
        <v>2019</v>
      </c>
      <c r="O1" s="94">
        <v>2020</v>
      </c>
      <c r="P1" s="94">
        <v>2021</v>
      </c>
      <c r="Q1" s="94">
        <v>2022</v>
      </c>
      <c r="R1" s="94">
        <v>2023</v>
      </c>
      <c r="S1" s="94">
        <v>2024</v>
      </c>
      <c r="T1" s="94">
        <v>2025</v>
      </c>
      <c r="U1" s="94">
        <v>2026</v>
      </c>
      <c r="V1" s="94">
        <v>2027</v>
      </c>
      <c r="W1" s="94">
        <v>2028</v>
      </c>
      <c r="X1" s="94">
        <v>2029</v>
      </c>
      <c r="Y1" s="94">
        <v>2030</v>
      </c>
    </row>
    <row r="2" spans="1:26" s="96" customFormat="1">
      <c r="A2" s="94"/>
      <c r="B2" s="95"/>
      <c r="C2" s="94"/>
      <c r="D2" s="94"/>
      <c r="E2" s="138" t="s">
        <v>233</v>
      </c>
      <c r="F2" s="99" t="s">
        <v>22</v>
      </c>
      <c r="G2" s="94" t="s">
        <v>23</v>
      </c>
      <c r="H2" s="94" t="s">
        <v>24</v>
      </c>
      <c r="I2" s="94" t="s">
        <v>25</v>
      </c>
      <c r="J2" s="94" t="s">
        <v>26</v>
      </c>
      <c r="K2" s="94" t="s">
        <v>27</v>
      </c>
      <c r="L2" s="94" t="s">
        <v>28</v>
      </c>
      <c r="M2" s="94" t="s">
        <v>29</v>
      </c>
      <c r="N2" s="94" t="s">
        <v>30</v>
      </c>
      <c r="O2" s="94" t="s">
        <v>31</v>
      </c>
      <c r="P2" s="94" t="s">
        <v>32</v>
      </c>
      <c r="Q2" s="94" t="s">
        <v>33</v>
      </c>
      <c r="R2" s="94" t="s">
        <v>34</v>
      </c>
      <c r="S2" s="94" t="s">
        <v>35</v>
      </c>
      <c r="T2" s="94" t="s">
        <v>36</v>
      </c>
      <c r="U2" s="94" t="s">
        <v>37</v>
      </c>
      <c r="V2" s="94" t="s">
        <v>38</v>
      </c>
      <c r="W2" s="94" t="s">
        <v>39</v>
      </c>
      <c r="X2" s="94" t="s">
        <v>40</v>
      </c>
      <c r="Y2" s="94" t="s">
        <v>174</v>
      </c>
    </row>
    <row r="3" spans="1:26">
      <c r="A3" s="89" t="s">
        <v>98</v>
      </c>
      <c r="C3" s="27"/>
      <c r="D3" s="27"/>
    </row>
    <row r="4" spans="1:26">
      <c r="A4" s="44"/>
      <c r="B4" s="51"/>
      <c r="C4" s="44"/>
      <c r="D4" s="27"/>
    </row>
    <row r="5" spans="1:26">
      <c r="A5" s="48" t="s">
        <v>102</v>
      </c>
      <c r="B5" s="51"/>
      <c r="C5" s="44"/>
      <c r="D5" s="27"/>
    </row>
    <row r="6" spans="1:26" s="64" customFormat="1" ht="11.4">
      <c r="A6" s="66"/>
      <c r="B6" s="51" t="s">
        <v>15</v>
      </c>
      <c r="C6" s="66"/>
      <c r="D6" s="51"/>
      <c r="E6" s="140"/>
      <c r="F6" s="137">
        <f>'Bike Operating Assumptions'!D23+Bikestations!D29</f>
        <v>602314</v>
      </c>
      <c r="G6" s="137">
        <f>'Bike Operating Assumptions'!E23+Bikestations!E29</f>
        <v>14574086</v>
      </c>
      <c r="H6" s="137">
        <f>'Bike Operating Assumptions'!F23+Bikestations!F29</f>
        <v>307929.99</v>
      </c>
      <c r="I6" s="137">
        <f>'Bike Operating Assumptions'!G23+Bikestations!G29</f>
        <v>315628.23975000001</v>
      </c>
      <c r="J6" s="137">
        <f>'Bike Operating Assumptions'!H23+Bikestations!H29</f>
        <v>323518.94574374997</v>
      </c>
      <c r="K6" s="137">
        <f>'Bike Operating Assumptions'!I23+Bikestations!I29</f>
        <v>331606.91938734369</v>
      </c>
      <c r="L6" s="137">
        <f>'Bike Operating Assumptions'!J23+Bikestations!J29</f>
        <v>339897.09237202728</v>
      </c>
      <c r="M6" s="137">
        <f>'Bike Operating Assumptions'!K23+Bikestations!K29</f>
        <v>348394.51968132798</v>
      </c>
      <c r="N6" s="137">
        <f>'Bike Operating Assumptions'!L23+Bikestations!L29</f>
        <v>357104.38267336116</v>
      </c>
      <c r="O6" s="137">
        <f>'Bike Operating Assumptions'!M23+Bikestations!M29</f>
        <v>366031.99224019516</v>
      </c>
      <c r="P6" s="137">
        <f>'Bike Operating Assumptions'!N23+Bikestations!N29</f>
        <v>375182.79204620008</v>
      </c>
      <c r="Q6" s="137">
        <f>'Bike Operating Assumptions'!O23+Bikestations!O29</f>
        <v>384562.36184735509</v>
      </c>
      <c r="R6" s="137">
        <f>'Bike Operating Assumptions'!P23+Bikestations!P29</f>
        <v>394176.42089353892</v>
      </c>
      <c r="S6" s="137">
        <f>'Bike Operating Assumptions'!Q23+Bikestations!Q29</f>
        <v>404030.83141587739</v>
      </c>
      <c r="T6" s="137">
        <f>'Bike Operating Assumptions'!R23+Bikestations!R29</f>
        <v>414131.60220127436</v>
      </c>
      <c r="U6" s="137">
        <f>'Bike Operating Assumptions'!S23+Bikestations!S29</f>
        <v>424484.89225630619</v>
      </c>
      <c r="V6" s="137">
        <f>'Bike Operating Assumptions'!T23+Bikestations!T29</f>
        <v>435097.01456271386</v>
      </c>
      <c r="W6" s="137">
        <f>'Bike Operating Assumptions'!U23+Bikestations!U29</f>
        <v>445974.43992678169</v>
      </c>
      <c r="X6" s="137">
        <f>'Bike Operating Assumptions'!V23+Bikestations!V29</f>
        <v>457123.80092495127</v>
      </c>
      <c r="Y6" s="137">
        <f>'Bike Operating Assumptions'!W23+Bikestations!W29</f>
        <v>468551.89594807499</v>
      </c>
    </row>
    <row r="7" spans="1:26" s="64" customFormat="1" ht="11.4">
      <c r="A7" s="66"/>
      <c r="B7" s="51" t="s">
        <v>359</v>
      </c>
      <c r="C7" s="66"/>
      <c r="D7" s="51"/>
      <c r="E7" s="140"/>
      <c r="F7" s="137">
        <f>F6*0.78</f>
        <v>469804.92000000004</v>
      </c>
      <c r="G7" s="137">
        <f>G6*0.78</f>
        <v>11367787.08</v>
      </c>
      <c r="H7" s="67">
        <v>0</v>
      </c>
      <c r="I7" s="67">
        <v>0</v>
      </c>
      <c r="J7" s="67">
        <v>0</v>
      </c>
      <c r="K7" s="67">
        <v>0</v>
      </c>
      <c r="L7" s="67">
        <v>0</v>
      </c>
      <c r="M7" s="67">
        <v>0</v>
      </c>
      <c r="N7" s="67">
        <v>0</v>
      </c>
      <c r="O7" s="67">
        <v>0</v>
      </c>
      <c r="P7" s="67">
        <v>0</v>
      </c>
      <c r="Q7" s="67">
        <v>0</v>
      </c>
      <c r="R7" s="67">
        <v>0</v>
      </c>
      <c r="S7" s="67">
        <v>0</v>
      </c>
      <c r="T7" s="67">
        <v>0</v>
      </c>
      <c r="U7" s="67">
        <v>0</v>
      </c>
      <c r="V7" s="67">
        <v>0</v>
      </c>
      <c r="W7" s="67">
        <v>0</v>
      </c>
      <c r="X7" s="67">
        <v>0</v>
      </c>
      <c r="Y7" s="67">
        <v>0</v>
      </c>
    </row>
    <row r="8" spans="1:26" s="176" customFormat="1" ht="12">
      <c r="A8" s="173"/>
      <c r="B8" s="174" t="s">
        <v>292</v>
      </c>
      <c r="C8" s="173"/>
      <c r="D8" s="173"/>
      <c r="E8" s="186">
        <f>SUM(F8:Y8)</f>
        <v>18631709.220145199</v>
      </c>
      <c r="F8" s="175">
        <f t="shared" ref="F8:Y8" si="0">F46*F6</f>
        <v>567738.71241398808</v>
      </c>
      <c r="G8" s="175">
        <f t="shared" si="0"/>
        <v>13337353.245595653</v>
      </c>
      <c r="H8" s="175">
        <f t="shared" si="0"/>
        <v>273591.8077798076</v>
      </c>
      <c r="I8" s="175">
        <f t="shared" si="0"/>
        <v>272263.69220806099</v>
      </c>
      <c r="J8" s="175">
        <f t="shared" si="0"/>
        <v>270942.02379928395</v>
      </c>
      <c r="K8" s="175">
        <f t="shared" si="0"/>
        <v>269626.77125656896</v>
      </c>
      <c r="L8" s="175">
        <f t="shared" si="0"/>
        <v>268317.90343493514</v>
      </c>
      <c r="M8" s="175">
        <f t="shared" si="0"/>
        <v>267015.3893405908</v>
      </c>
      <c r="N8" s="175">
        <f t="shared" si="0"/>
        <v>265719.19813019957</v>
      </c>
      <c r="O8" s="175">
        <f t="shared" si="0"/>
        <v>264429.29911015008</v>
      </c>
      <c r="P8" s="175">
        <f t="shared" si="0"/>
        <v>263145.66173582902</v>
      </c>
      <c r="Q8" s="175">
        <f t="shared" si="0"/>
        <v>261868.25561089782</v>
      </c>
      <c r="R8" s="175">
        <f t="shared" si="0"/>
        <v>260597.05048657299</v>
      </c>
      <c r="S8" s="175">
        <f t="shared" si="0"/>
        <v>259332.01626090999</v>
      </c>
      <c r="T8" s="175">
        <f t="shared" si="0"/>
        <v>258073.1229780901</v>
      </c>
      <c r="U8" s="175">
        <f t="shared" si="0"/>
        <v>256820.34082771101</v>
      </c>
      <c r="V8" s="175">
        <f t="shared" si="0"/>
        <v>255573.64014408135</v>
      </c>
      <c r="W8" s="175">
        <f t="shared" si="0"/>
        <v>254332.99140551785</v>
      </c>
      <c r="X8" s="175">
        <f t="shared" si="0"/>
        <v>253098.36523364644</v>
      </c>
      <c r="Y8" s="175">
        <f t="shared" si="0"/>
        <v>251869.73239270638</v>
      </c>
      <c r="Z8" s="175"/>
    </row>
    <row r="9" spans="1:26" s="176" customFormat="1" ht="12">
      <c r="A9" s="173"/>
      <c r="B9" s="174" t="s">
        <v>293</v>
      </c>
      <c r="C9" s="173"/>
      <c r="D9" s="173"/>
      <c r="E9" s="186">
        <f>SUM(F9:Y9)</f>
        <v>15431149.767196646</v>
      </c>
      <c r="F9" s="175">
        <f t="shared" ref="F9:Y9" si="1">F48*F6</f>
        <v>526084.37418115116</v>
      </c>
      <c r="G9" s="175">
        <f t="shared" si="1"/>
        <v>11896795.459424688</v>
      </c>
      <c r="H9" s="175">
        <f t="shared" si="1"/>
        <v>234918.3150168423</v>
      </c>
      <c r="I9" s="175">
        <f t="shared" si="1"/>
        <v>225038.57279650783</v>
      </c>
      <c r="J9" s="175">
        <f t="shared" si="1"/>
        <v>215574.33375366402</v>
      </c>
      <c r="K9" s="175">
        <f t="shared" si="1"/>
        <v>206508.12345561269</v>
      </c>
      <c r="L9" s="175">
        <f t="shared" si="1"/>
        <v>197823.20237570375</v>
      </c>
      <c r="M9" s="175">
        <f t="shared" si="1"/>
        <v>189503.53498607135</v>
      </c>
      <c r="N9" s="175">
        <f t="shared" si="1"/>
        <v>181533.76015020855</v>
      </c>
      <c r="O9" s="175">
        <f t="shared" si="1"/>
        <v>173899.16276071375</v>
      </c>
      <c r="P9" s="175">
        <f t="shared" si="1"/>
        <v>166585.64656984265</v>
      </c>
      <c r="Q9" s="175">
        <f t="shared" si="1"/>
        <v>159579.70816269971</v>
      </c>
      <c r="R9" s="175">
        <f t="shared" si="1"/>
        <v>152868.41202501609</v>
      </c>
      <c r="S9" s="175">
        <f t="shared" si="1"/>
        <v>146439.36665947799</v>
      </c>
      <c r="T9" s="175">
        <f t="shared" si="1"/>
        <v>140280.70170650934</v>
      </c>
      <c r="U9" s="175">
        <f t="shared" si="1"/>
        <v>134381.04602726363</v>
      </c>
      <c r="V9" s="175">
        <f t="shared" si="1"/>
        <v>128729.50670835999</v>
      </c>
      <c r="W9" s="175">
        <f t="shared" si="1"/>
        <v>123315.64894959718</v>
      </c>
      <c r="X9" s="175">
        <f t="shared" si="1"/>
        <v>118129.47679751134</v>
      </c>
      <c r="Y9" s="175">
        <f t="shared" si="1"/>
        <v>113161.41468920477</v>
      </c>
      <c r="Z9" s="175"/>
    </row>
    <row r="10" spans="1:26" s="64" customFormat="1">
      <c r="A10" s="66"/>
      <c r="B10" s="51" t="s">
        <v>286</v>
      </c>
      <c r="C10" s="66"/>
      <c r="D10" s="51"/>
      <c r="E10" s="140"/>
      <c r="F10" s="38">
        <v>300000</v>
      </c>
      <c r="G10" s="67">
        <f>'Bike Operating Assumptions'!E24+Bikestations!E30</f>
        <v>4769040</v>
      </c>
      <c r="H10" s="67">
        <f>'Bike Operating Assumptions'!F24+Bikestations!F30</f>
        <v>5188266</v>
      </c>
      <c r="I10" s="67">
        <f>'Bike Operating Assumptions'!G24+Bikestations!G30</f>
        <v>5310472.6499999994</v>
      </c>
      <c r="J10" s="67">
        <f>'Bike Operating Assumptions'!H24+Bikestations!H30</f>
        <v>5435734.4662499996</v>
      </c>
      <c r="K10" s="67">
        <f>'Bike Operating Assumptions'!I24+Bikestations!I30</f>
        <v>5564127.8279062491</v>
      </c>
      <c r="L10" s="67">
        <f>'Bike Operating Assumptions'!J24+Bikestations!J30</f>
        <v>5695731.023603905</v>
      </c>
      <c r="M10" s="67">
        <f>'Bike Operating Assumptions'!K24+Bikestations!K30</f>
        <v>5830624.2991940035</v>
      </c>
      <c r="N10" s="67">
        <f>'Bike Operating Assumptions'!L24+Bikestations!L30</f>
        <v>5968889.9066738533</v>
      </c>
      <c r="O10" s="67">
        <f>'Bike Operating Assumptions'!M24+Bikestations!M30</f>
        <v>6110612.1543406993</v>
      </c>
      <c r="P10" s="67">
        <f>'Bike Operating Assumptions'!N24+Bikestations!N30</f>
        <v>6255877.458199217</v>
      </c>
      <c r="Q10" s="67">
        <f>'Bike Operating Assumptions'!O24+Bikestations!O30</f>
        <v>6404774.3946541976</v>
      </c>
      <c r="R10" s="67">
        <f>'Bike Operating Assumptions'!P24+Bikestations!P30</f>
        <v>6557393.7545205522</v>
      </c>
      <c r="S10" s="67">
        <f>'Bike Operating Assumptions'!Q24+Bikestations!Q30</f>
        <v>6713828.5983835654</v>
      </c>
      <c r="T10" s="67">
        <f>'Bike Operating Assumptions'!R24+Bikestations!R30</f>
        <v>6874174.3133431543</v>
      </c>
      <c r="U10" s="67">
        <f>'Bike Operating Assumptions'!S24+Bikestations!S30</f>
        <v>7038528.6711767334</v>
      </c>
      <c r="V10" s="67">
        <f>'Bike Operating Assumptions'!T24+Bikestations!T30</f>
        <v>7206991.8879561517</v>
      </c>
      <c r="W10" s="67">
        <f>'Bike Operating Assumptions'!U24+Bikestations!U30</f>
        <v>7379666.6851550555</v>
      </c>
      <c r="X10" s="67">
        <f>'Bike Operating Assumptions'!V24+Bikestations!V30</f>
        <v>7556658.3522839323</v>
      </c>
      <c r="Y10" s="67">
        <f>'Bike Operating Assumptions'!W24+Bikestations!W30</f>
        <v>7738074.8110910309</v>
      </c>
    </row>
    <row r="11" spans="1:26" s="176" customFormat="1" ht="12">
      <c r="A11" s="173"/>
      <c r="B11" s="174" t="s">
        <v>292</v>
      </c>
      <c r="C11" s="173"/>
      <c r="D11" s="173"/>
      <c r="E11" s="186">
        <f>SUM(F11:Y11)</f>
        <v>83456217.090047106</v>
      </c>
      <c r="F11" s="175">
        <f t="shared" ref="F11:Y11" si="2">F46*F10</f>
        <v>282778.7727401263</v>
      </c>
      <c r="G11" s="175">
        <f t="shared" si="2"/>
        <v>4364347.1791215921</v>
      </c>
      <c r="H11" s="175">
        <f t="shared" si="2"/>
        <v>4609707.1421413403</v>
      </c>
      <c r="I11" s="175">
        <f t="shared" si="2"/>
        <v>4580860.3571218504</v>
      </c>
      <c r="J11" s="175">
        <f t="shared" si="2"/>
        <v>4552342.0389971025</v>
      </c>
      <c r="K11" s="175">
        <f t="shared" si="2"/>
        <v>4524145.1048999047</v>
      </c>
      <c r="L11" s="175">
        <f t="shared" si="2"/>
        <v>4496262.6662012879</v>
      </c>
      <c r="M11" s="175">
        <f t="shared" si="2"/>
        <v>4468688.0229116185</v>
      </c>
      <c r="N11" s="175">
        <f t="shared" si="2"/>
        <v>4441414.6582444962</v>
      </c>
      <c r="O11" s="175">
        <f t="shared" si="2"/>
        <v>4414436.2333387211</v>
      </c>
      <c r="P11" s="175">
        <f t="shared" si="2"/>
        <v>4387746.582133689</v>
      </c>
      <c r="Q11" s="175">
        <f t="shared" si="2"/>
        <v>4361339.7063937709</v>
      </c>
      <c r="R11" s="175">
        <f t="shared" si="2"/>
        <v>4335209.7708773445</v>
      </c>
      <c r="S11" s="175">
        <f t="shared" si="2"/>
        <v>4309351.0986462506</v>
      </c>
      <c r="T11" s="175">
        <f t="shared" si="2"/>
        <v>4283758.166511585</v>
      </c>
      <c r="U11" s="175">
        <f t="shared" si="2"/>
        <v>4258425.6006118674</v>
      </c>
      <c r="V11" s="175">
        <f t="shared" si="2"/>
        <v>4233348.1721197367</v>
      </c>
      <c r="W11" s="175">
        <f t="shared" si="2"/>
        <v>4208520.7930734055</v>
      </c>
      <c r="X11" s="175">
        <f t="shared" si="2"/>
        <v>4183938.5123292734</v>
      </c>
      <c r="Y11" s="175">
        <f t="shared" si="2"/>
        <v>4159596.511632144</v>
      </c>
      <c r="Z11" s="175"/>
    </row>
    <row r="12" spans="1:26" s="176" customFormat="1" ht="12">
      <c r="A12" s="173"/>
      <c r="B12" s="174" t="s">
        <v>293</v>
      </c>
      <c r="C12" s="173"/>
      <c r="D12" s="173"/>
      <c r="E12" s="186">
        <f>SUM(F12:Y12)</f>
        <v>54373439.792922422</v>
      </c>
      <c r="F12" s="175">
        <f t="shared" ref="F12:Y12" si="3">F48*F10</f>
        <v>262031.61848196347</v>
      </c>
      <c r="G12" s="175">
        <f t="shared" si="3"/>
        <v>3892957.2268075482</v>
      </c>
      <c r="H12" s="175">
        <f t="shared" si="3"/>
        <v>3958103.2902289652</v>
      </c>
      <c r="I12" s="175">
        <f t="shared" si="3"/>
        <v>3786293.6059760116</v>
      </c>
      <c r="J12" s="175">
        <f t="shared" si="3"/>
        <v>3622059.3923170883</v>
      </c>
      <c r="K12" s="175">
        <f t="shared" si="3"/>
        <v>3465059.1686414871</v>
      </c>
      <c r="L12" s="175">
        <f t="shared" si="3"/>
        <v>3314967.3128910186</v>
      </c>
      <c r="M12" s="175">
        <f t="shared" si="3"/>
        <v>3171473.2966626696</v>
      </c>
      <c r="N12" s="175">
        <f t="shared" si="3"/>
        <v>3034280.9588877149</v>
      </c>
      <c r="O12" s="175">
        <f t="shared" si="3"/>
        <v>2903107.8160456982</v>
      </c>
      <c r="P12" s="175">
        <f t="shared" si="3"/>
        <v>2777684.4069849853</v>
      </c>
      <c r="Q12" s="175">
        <f t="shared" si="3"/>
        <v>2657753.6705283215</v>
      </c>
      <c r="R12" s="175">
        <f t="shared" si="3"/>
        <v>2543070.3541423981</v>
      </c>
      <c r="S12" s="175">
        <f t="shared" si="3"/>
        <v>2433400.4520451659</v>
      </c>
      <c r="T12" s="175">
        <f t="shared" si="3"/>
        <v>2328520.6712139975</v>
      </c>
      <c r="U12" s="175">
        <f t="shared" si="3"/>
        <v>2228217.9238419379</v>
      </c>
      <c r="V12" s="175">
        <f t="shared" si="3"/>
        <v>2132288.8448686963</v>
      </c>
      <c r="W12" s="175">
        <f t="shared" si="3"/>
        <v>2040539.3332878521</v>
      </c>
      <c r="X12" s="175">
        <f t="shared" si="3"/>
        <v>1952784.1160023059</v>
      </c>
      <c r="Y12" s="175">
        <f t="shared" si="3"/>
        <v>1868846.3330665978</v>
      </c>
      <c r="Z12" s="175"/>
    </row>
    <row r="13" spans="1:26" s="64" customFormat="1" ht="12">
      <c r="A13" s="69"/>
      <c r="B13" s="51" t="s">
        <v>101</v>
      </c>
      <c r="C13" s="66"/>
      <c r="D13" s="51"/>
      <c r="E13" s="140"/>
      <c r="F13" s="70">
        <f>'Bike Operating Assumptions'!D13</f>
        <v>660</v>
      </c>
      <c r="G13" s="70">
        <f>'Bike Operating Assumptions'!E13</f>
        <v>77862.9375</v>
      </c>
      <c r="H13" s="70">
        <f>'Bike Operating Assumptions'!F13</f>
        <v>84405.737460937497</v>
      </c>
      <c r="I13" s="70">
        <f>'Bike Operating Assumptions'!G13</f>
        <v>91478.092062084979</v>
      </c>
      <c r="J13" s="70">
        <f>'Bike Operating Assumptions'!H13</f>
        <v>99121.932318257328</v>
      </c>
      <c r="K13" s="70">
        <f>'Bike Operating Assumptions'!I13</f>
        <v>107382.46507811999</v>
      </c>
      <c r="L13" s="70">
        <f>'Bike Operating Assumptions'!J13</f>
        <v>116308.42678533986</v>
      </c>
      <c r="M13" s="70">
        <f>'Bike Operating Assumptions'!K13</f>
        <v>125952.35679045152</v>
      </c>
      <c r="N13" s="70">
        <f>'Bike Operating Assumptions'!L13</f>
        <v>136370.89171437864</v>
      </c>
      <c r="O13" s="70">
        <f>'Bike Operating Assumptions'!M13</f>
        <v>147625.08247951209</v>
      </c>
      <c r="P13" s="70">
        <f>'Bike Operating Assumptions'!N13</f>
        <v>159780.73574800257</v>
      </c>
      <c r="Q13" s="70">
        <f>'Bike Operating Assumptions'!O13</f>
        <v>172908.78164014273</v>
      </c>
      <c r="R13" s="70">
        <f>'Bike Operating Assumptions'!P13</f>
        <v>187085.66974912086</v>
      </c>
      <c r="S13" s="70">
        <f>'Bike Operating Assumptions'!Q13</f>
        <v>202393.79562279757</v>
      </c>
      <c r="T13" s="70">
        <f>'Bike Operating Assumptions'!R13</f>
        <v>218921.96004932947</v>
      </c>
      <c r="U13" s="70">
        <f>'Bike Operating Assumptions'!S13</f>
        <v>236765.86366234306</v>
      </c>
      <c r="V13" s="70">
        <f>'Bike Operating Assumptions'!T13</f>
        <v>256028.63957391103</v>
      </c>
      <c r="W13" s="70">
        <f>'Bike Operating Assumptions'!U13</f>
        <v>276821.42695085646</v>
      </c>
      <c r="X13" s="70">
        <f>'Bike Operating Assumptions'!V13</f>
        <v>299263.98867302155</v>
      </c>
      <c r="Y13" s="70">
        <f>'Bike Operating Assumptions'!W13</f>
        <v>323485.37645230803</v>
      </c>
    </row>
    <row r="14" spans="1:26" s="64" customFormat="1" ht="12">
      <c r="A14" s="69"/>
      <c r="B14" s="51"/>
      <c r="C14" s="66"/>
      <c r="D14" s="51"/>
      <c r="E14" s="140"/>
      <c r="F14" s="51"/>
      <c r="G14" s="70"/>
      <c r="H14" s="70"/>
      <c r="I14" s="70"/>
      <c r="J14" s="70"/>
      <c r="K14" s="70"/>
      <c r="L14" s="70"/>
      <c r="M14" s="70"/>
      <c r="N14" s="70"/>
      <c r="O14" s="70"/>
      <c r="P14" s="70"/>
      <c r="Q14" s="70"/>
      <c r="R14" s="70"/>
      <c r="S14" s="70"/>
      <c r="T14" s="70"/>
      <c r="U14" s="70"/>
      <c r="V14" s="70"/>
      <c r="W14" s="70"/>
      <c r="X14" s="70"/>
      <c r="Y14" s="70"/>
    </row>
    <row r="15" spans="1:26" s="64" customFormat="1" ht="12">
      <c r="A15" s="66"/>
      <c r="B15" s="52" t="s">
        <v>418</v>
      </c>
      <c r="C15" s="66"/>
      <c r="D15" s="51"/>
      <c r="E15" s="140"/>
      <c r="F15" s="51"/>
      <c r="G15" s="68"/>
    </row>
    <row r="16" spans="1:26" s="64" customFormat="1" ht="11.4">
      <c r="A16" s="66"/>
      <c r="B16" s="53" t="s">
        <v>194</v>
      </c>
      <c r="C16" s="66"/>
      <c r="D16" s="51"/>
      <c r="E16" s="140"/>
      <c r="F16" s="71">
        <f>'Price Assumptions'!$B$3</f>
        <v>13.91</v>
      </c>
      <c r="G16" s="71">
        <f>'Price Assumptions'!$B$3</f>
        <v>13.91</v>
      </c>
      <c r="H16" s="71">
        <f>'Price Assumptions'!$B$3</f>
        <v>13.91</v>
      </c>
      <c r="I16" s="71">
        <f>'Price Assumptions'!$B$3</f>
        <v>13.91</v>
      </c>
      <c r="J16" s="71">
        <f>'Price Assumptions'!$B$3</f>
        <v>13.91</v>
      </c>
      <c r="K16" s="71">
        <f>'Price Assumptions'!$B$3</f>
        <v>13.91</v>
      </c>
      <c r="L16" s="71">
        <f>'Price Assumptions'!$B$3</f>
        <v>13.91</v>
      </c>
      <c r="M16" s="71">
        <f>'Price Assumptions'!$B$3</f>
        <v>13.91</v>
      </c>
      <c r="N16" s="71">
        <f>'Price Assumptions'!$B$3</f>
        <v>13.91</v>
      </c>
      <c r="O16" s="71">
        <f>'Price Assumptions'!$B$3</f>
        <v>13.91</v>
      </c>
      <c r="P16" s="71">
        <f>'Price Assumptions'!$B$3</f>
        <v>13.91</v>
      </c>
      <c r="Q16" s="71">
        <f>'Price Assumptions'!$B$3</f>
        <v>13.91</v>
      </c>
      <c r="R16" s="71">
        <f>'Price Assumptions'!$B$3</f>
        <v>13.91</v>
      </c>
      <c r="S16" s="71">
        <f>'Price Assumptions'!$B$3</f>
        <v>13.91</v>
      </c>
      <c r="T16" s="71">
        <f>'Price Assumptions'!$B$3</f>
        <v>13.91</v>
      </c>
      <c r="U16" s="71">
        <f>'Price Assumptions'!$B$3</f>
        <v>13.91</v>
      </c>
      <c r="V16" s="71">
        <f>'Price Assumptions'!$B$3</f>
        <v>13.91</v>
      </c>
      <c r="W16" s="71">
        <f>'Price Assumptions'!$B$3</f>
        <v>13.91</v>
      </c>
      <c r="X16" s="71">
        <f>'Price Assumptions'!$B$3</f>
        <v>13.91</v>
      </c>
      <c r="Y16" s="71">
        <f>'Price Assumptions'!$B$3</f>
        <v>13.91</v>
      </c>
    </row>
    <row r="17" spans="1:25" s="64" customFormat="1" ht="11.4">
      <c r="A17" s="66"/>
      <c r="B17" s="53" t="s">
        <v>109</v>
      </c>
      <c r="C17" s="66"/>
      <c r="D17" s="51"/>
      <c r="E17" s="140"/>
      <c r="F17" s="68">
        <f>'Bike Operating Assumptions'!D32</f>
        <v>0.15</v>
      </c>
      <c r="G17" s="68">
        <f>'Bike Operating Assumptions'!E32</f>
        <v>0.15</v>
      </c>
      <c r="H17" s="68">
        <f>'Bike Operating Assumptions'!F32</f>
        <v>0.15</v>
      </c>
      <c r="I17" s="68">
        <f>'Bike Operating Assumptions'!G32</f>
        <v>0.15</v>
      </c>
      <c r="J17" s="68">
        <f>'Bike Operating Assumptions'!H32</f>
        <v>0.15</v>
      </c>
      <c r="K17" s="68">
        <f>'Bike Operating Assumptions'!I32</f>
        <v>0.15</v>
      </c>
      <c r="L17" s="68">
        <f>'Bike Operating Assumptions'!J32</f>
        <v>0.15</v>
      </c>
      <c r="M17" s="68">
        <f>'Bike Operating Assumptions'!K32</f>
        <v>0.15</v>
      </c>
      <c r="N17" s="68">
        <f>'Bike Operating Assumptions'!L32</f>
        <v>0.15</v>
      </c>
      <c r="O17" s="68">
        <f>'Bike Operating Assumptions'!M32</f>
        <v>0.15</v>
      </c>
      <c r="P17" s="68">
        <f>'Bike Operating Assumptions'!N32</f>
        <v>0.15</v>
      </c>
      <c r="Q17" s="68">
        <f>'Bike Operating Assumptions'!O32</f>
        <v>0.15</v>
      </c>
      <c r="R17" s="68">
        <f>'Bike Operating Assumptions'!P32</f>
        <v>0.15</v>
      </c>
      <c r="S17" s="68">
        <f>'Bike Operating Assumptions'!Q32</f>
        <v>0.15</v>
      </c>
      <c r="T17" s="68">
        <f>'Bike Operating Assumptions'!R32</f>
        <v>0.15</v>
      </c>
      <c r="U17" s="68">
        <f>'Bike Operating Assumptions'!S32</f>
        <v>0.15</v>
      </c>
      <c r="V17" s="68">
        <f>'Bike Operating Assumptions'!T32</f>
        <v>0.15</v>
      </c>
      <c r="W17" s="68">
        <f>'Bike Operating Assumptions'!U32</f>
        <v>0.15</v>
      </c>
      <c r="X17" s="68">
        <f>'Bike Operating Assumptions'!V32</f>
        <v>0.15</v>
      </c>
      <c r="Y17" s="68">
        <f>'Bike Operating Assumptions'!W32</f>
        <v>0.15</v>
      </c>
    </row>
    <row r="18" spans="1:25" s="64" customFormat="1" ht="11.4">
      <c r="A18" s="66"/>
      <c r="B18" s="49" t="s">
        <v>108</v>
      </c>
      <c r="C18" s="66"/>
      <c r="D18" s="51"/>
      <c r="E18" s="140"/>
      <c r="F18" s="68">
        <f>'Bike Operating Assumptions'!D31</f>
        <v>10</v>
      </c>
      <c r="G18" s="68">
        <f>'Bike Operating Assumptions'!E31</f>
        <v>10</v>
      </c>
      <c r="H18" s="68">
        <f>'Bike Operating Assumptions'!F31</f>
        <v>10</v>
      </c>
      <c r="I18" s="68">
        <f>'Bike Operating Assumptions'!G31</f>
        <v>10</v>
      </c>
      <c r="J18" s="68">
        <f>'Bike Operating Assumptions'!H31</f>
        <v>10</v>
      </c>
      <c r="K18" s="68">
        <f>'Bike Operating Assumptions'!I31</f>
        <v>10</v>
      </c>
      <c r="L18" s="68">
        <f>'Bike Operating Assumptions'!J31</f>
        <v>10</v>
      </c>
      <c r="M18" s="68">
        <f>'Bike Operating Assumptions'!K31</f>
        <v>10</v>
      </c>
      <c r="N18" s="68">
        <f>'Bike Operating Assumptions'!L31</f>
        <v>10</v>
      </c>
      <c r="O18" s="68">
        <f>'Bike Operating Assumptions'!M31</f>
        <v>10</v>
      </c>
      <c r="P18" s="68">
        <f>'Bike Operating Assumptions'!N31</f>
        <v>10</v>
      </c>
      <c r="Q18" s="68">
        <f>'Bike Operating Assumptions'!O31</f>
        <v>10</v>
      </c>
      <c r="R18" s="68">
        <f>'Bike Operating Assumptions'!P31</f>
        <v>10</v>
      </c>
      <c r="S18" s="68">
        <f>'Bike Operating Assumptions'!Q31</f>
        <v>10</v>
      </c>
      <c r="T18" s="68">
        <f>'Bike Operating Assumptions'!R31</f>
        <v>10</v>
      </c>
      <c r="U18" s="68">
        <f>'Bike Operating Assumptions'!S31</f>
        <v>10</v>
      </c>
      <c r="V18" s="68">
        <f>'Bike Operating Assumptions'!T31</f>
        <v>10</v>
      </c>
      <c r="W18" s="68">
        <f>'Bike Operating Assumptions'!U31</f>
        <v>10</v>
      </c>
      <c r="X18" s="68">
        <f>'Bike Operating Assumptions'!V31</f>
        <v>10</v>
      </c>
      <c r="Y18" s="68">
        <f>'Bike Operating Assumptions'!W31</f>
        <v>10</v>
      </c>
    </row>
    <row r="19" spans="1:25" s="64" customFormat="1" ht="12">
      <c r="A19" s="66"/>
      <c r="B19" s="55"/>
      <c r="C19" s="66"/>
      <c r="D19" s="51"/>
      <c r="E19" s="140"/>
      <c r="F19" s="51"/>
      <c r="G19" s="68"/>
      <c r="L19" s="72"/>
    </row>
    <row r="20" spans="1:25" s="64" customFormat="1" ht="12">
      <c r="A20" s="66"/>
      <c r="B20" s="52" t="s">
        <v>43</v>
      </c>
      <c r="C20" s="66"/>
      <c r="D20" s="51"/>
      <c r="E20" s="140"/>
      <c r="F20" s="51"/>
      <c r="G20" s="68"/>
      <c r="L20" s="72"/>
    </row>
    <row r="21" spans="1:25" s="64" customFormat="1" ht="11.4">
      <c r="A21" s="66"/>
      <c r="B21" s="151" t="s">
        <v>242</v>
      </c>
      <c r="C21" s="66"/>
      <c r="D21" s="51"/>
      <c r="E21" s="168"/>
      <c r="F21" s="70">
        <f>'Bike Operating Assumptions'!D50</f>
        <v>100935.92805606488</v>
      </c>
      <c r="G21" s="70">
        <f>'Bike Operating Assumptions'!E50</f>
        <v>104468.68553802714</v>
      </c>
      <c r="H21" s="70">
        <f>'Bike Operating Assumptions'!F50</f>
        <v>108125.08953185809</v>
      </c>
      <c r="I21" s="70">
        <f>'Bike Operating Assumptions'!G50</f>
        <v>111909.46766547312</v>
      </c>
      <c r="J21" s="70">
        <f>'Bike Operating Assumptions'!H50</f>
        <v>115826.29903376466</v>
      </c>
      <c r="K21" s="70">
        <f>'Bike Operating Assumptions'!I50</f>
        <v>119880.21949994641</v>
      </c>
      <c r="L21" s="70">
        <f>'Bike Operating Assumptions'!J50</f>
        <v>124076.02718244452</v>
      </c>
      <c r="M21" s="70">
        <f>'Bike Operating Assumptions'!K50</f>
        <v>128418.68813383007</v>
      </c>
      <c r="N21" s="70">
        <f>'Bike Operating Assumptions'!L50</f>
        <v>132913.34221851412</v>
      </c>
      <c r="O21" s="70">
        <f>'Bike Operating Assumptions'!M50</f>
        <v>137565.3091961621</v>
      </c>
      <c r="P21" s="70">
        <f>'Bike Operating Assumptions'!N50</f>
        <v>142380.09501802776</v>
      </c>
      <c r="Q21" s="70">
        <f>'Bike Operating Assumptions'!O50</f>
        <v>147363.39834365872</v>
      </c>
      <c r="R21" s="70">
        <f>'Bike Operating Assumptions'!P50</f>
        <v>152521.11728568675</v>
      </c>
      <c r="S21" s="70">
        <f>'Bike Operating Assumptions'!Q50</f>
        <v>157859.35639068577</v>
      </c>
      <c r="T21" s="70">
        <f>'Bike Operating Assumptions'!R50</f>
        <v>163384.43386435977</v>
      </c>
      <c r="U21" s="70">
        <f>'Bike Operating Assumptions'!S50</f>
        <v>169102.88904961236</v>
      </c>
      <c r="V21" s="70">
        <f>'Bike Operating Assumptions'!T50</f>
        <v>175021.49016634878</v>
      </c>
      <c r="W21" s="70">
        <f>'Bike Operating Assumptions'!U50</f>
        <v>181147.24232217099</v>
      </c>
      <c r="X21" s="70">
        <f>'Bike Operating Assumptions'!V50</f>
        <v>187487.39580344697</v>
      </c>
      <c r="Y21" s="70">
        <f>'Bike Operating Assumptions'!W50</f>
        <v>194049.4546565676</v>
      </c>
    </row>
    <row r="22" spans="1:25" s="64" customFormat="1" ht="11.4">
      <c r="A22" s="66"/>
      <c r="B22" s="151" t="s">
        <v>243</v>
      </c>
      <c r="C22" s="66"/>
      <c r="D22" s="51"/>
      <c r="E22" s="168"/>
      <c r="F22" s="70">
        <f>'Bike Operating Assumptions'!D51</f>
        <v>101353.92805606488</v>
      </c>
      <c r="G22" s="70">
        <f>'Bike Operating Assumptions'!E51</f>
        <v>147087.34803802715</v>
      </c>
      <c r="H22" s="70">
        <f>'Bike Operating Assumptions'!F51</f>
        <v>154249.18657092057</v>
      </c>
      <c r="I22" s="70">
        <f>'Bike Operating Assumptions'!G51</f>
        <v>161819.23655432567</v>
      </c>
      <c r="J22" s="70">
        <f>'Bike Operating Assumptions'!H51</f>
        <v>169824.00066688843</v>
      </c>
      <c r="K22" s="70">
        <f>'Bike Operating Assumptions'!I51</f>
        <v>178291.85083795842</v>
      </c>
      <c r="L22" s="70">
        <f>'Bike Operating Assumptions'!J51</f>
        <v>187253.16599120776</v>
      </c>
      <c r="M22" s="70">
        <f>'Bike Operating Assumptions'!K51</f>
        <v>196740.48014991393</v>
      </c>
      <c r="N22" s="70">
        <f>'Bike Operating Assumptions'!L51</f>
        <v>206788.64169036769</v>
      </c>
      <c r="O22" s="70">
        <f>'Bike Operating Assumptions'!M51</f>
        <v>217434.98458977405</v>
      </c>
      <c r="P22" s="70">
        <f>'Bike Operating Assumptions'!N51</f>
        <v>228719.5125794943</v>
      </c>
      <c r="Q22" s="70">
        <f>'Bike Operating Assumptions'!O51</f>
        <v>240685.0971838703</v>
      </c>
      <c r="R22" s="70">
        <f>'Bike Operating Assumptions'!P51</f>
        <v>253377.69069956284</v>
      </c>
      <c r="S22" s="70">
        <f>'Bike Operating Assumptions'!Q51</f>
        <v>266846.55525072146</v>
      </c>
      <c r="T22" s="70">
        <f>'Bike Operating Assumptions'!R51</f>
        <v>281144.50914181932</v>
      </c>
      <c r="U22" s="70">
        <f>'Bike Operating Assumptions'!S51</f>
        <v>296328.19182310696</v>
      </c>
      <c r="V22" s="70">
        <f>'Bike Operating Assumptions'!T51</f>
        <v>312458.34888385504</v>
      </c>
      <c r="W22" s="70">
        <f>'Bike Operating Assumptions'!U51</f>
        <v>329600.13859642623</v>
      </c>
      <c r="X22" s="70">
        <f>'Bike Operating Assumptions'!V51</f>
        <v>347823.46165030485</v>
      </c>
      <c r="Y22" s="70">
        <f>'Bike Operating Assumptions'!W51</f>
        <v>367203.31584016851</v>
      </c>
    </row>
    <row r="23" spans="1:25" s="64" customFormat="1" ht="11.4">
      <c r="A23" s="66"/>
      <c r="B23" s="53" t="s">
        <v>270</v>
      </c>
      <c r="C23" s="66"/>
      <c r="D23" s="51"/>
      <c r="E23" s="140"/>
      <c r="F23" s="68">
        <f>F24/F21</f>
        <v>5.3064180455342572E-3</v>
      </c>
      <c r="G23" s="68">
        <f>G24/G21</f>
        <v>5.1980116834797292E-3</v>
      </c>
      <c r="H23" s="68">
        <f t="shared" ref="H23:Y23" si="4">H24/H21</f>
        <v>5.0918199866161178E-3</v>
      </c>
      <c r="I23" s="68">
        <f t="shared" si="4"/>
        <v>4.9877977109022524E-3</v>
      </c>
      <c r="J23" s="68">
        <f t="shared" si="4"/>
        <v>4.88590053660068E-3</v>
      </c>
      <c r="K23" s="68">
        <f t="shared" si="4"/>
        <v>4.7860850493947858E-3</v>
      </c>
      <c r="L23" s="68">
        <f t="shared" si="4"/>
        <v>4.6883087218916979E-3</v>
      </c>
      <c r="M23" s="68">
        <f t="shared" si="4"/>
        <v>4.5925298955030534E-3</v>
      </c>
      <c r="N23" s="68">
        <f t="shared" si="4"/>
        <v>4.4987077626959448E-3</v>
      </c>
      <c r="O23" s="68">
        <f t="shared" si="4"/>
        <v>4.406802349606458E-3</v>
      </c>
      <c r="P23" s="68">
        <f t="shared" si="4"/>
        <v>4.316774499008403E-3</v>
      </c>
      <c r="Q23" s="68">
        <f t="shared" si="4"/>
        <v>4.2285858536299844E-3</v>
      </c>
      <c r="R23" s="68">
        <f t="shared" si="4"/>
        <v>4.1421988398113027E-3</v>
      </c>
      <c r="S23" s="68">
        <f t="shared" si="4"/>
        <v>4.0575766514957153E-3</v>
      </c>
      <c r="T23" s="68">
        <f t="shared" si="4"/>
        <v>3.974683234548246E-3</v>
      </c>
      <c r="U23" s="68">
        <f t="shared" si="4"/>
        <v>3.8934832713943589E-3</v>
      </c>
      <c r="V23" s="68">
        <f t="shared" si="4"/>
        <v>3.8139421659725507E-3</v>
      </c>
      <c r="W23" s="68">
        <f t="shared" si="4"/>
        <v>3.7360260289943477E-3</v>
      </c>
      <c r="X23" s="68">
        <f t="shared" si="4"/>
        <v>3.6597016635054381E-3</v>
      </c>
      <c r="Y23" s="68">
        <f t="shared" si="4"/>
        <v>3.5849365507417698E-3</v>
      </c>
    </row>
    <row r="24" spans="1:25" s="161" customFormat="1" ht="11.4">
      <c r="A24" s="148"/>
      <c r="B24" s="158" t="s">
        <v>240</v>
      </c>
      <c r="C24" s="148"/>
      <c r="D24" s="159"/>
      <c r="E24" s="160"/>
      <c r="F24" s="162">
        <f>'Bike Crash Data'!S23</f>
        <v>535.60823007945021</v>
      </c>
      <c r="G24" s="162">
        <f>'Bike Crash Data'!T23</f>
        <v>543.02944798443491</v>
      </c>
      <c r="H24" s="162">
        <f>'Bike Crash Data'!U23</f>
        <v>550.55349193297218</v>
      </c>
      <c r="I24" s="162">
        <f>'Bike Crash Data'!V23</f>
        <v>558.18178665013647</v>
      </c>
      <c r="J24" s="162">
        <f>'Bike Crash Data'!W23</f>
        <v>565.91577660154155</v>
      </c>
      <c r="K24" s="162">
        <f>'Bike Crash Data'!X23</f>
        <v>573.75692626685884</v>
      </c>
      <c r="L24" s="162">
        <f>'Bike Crash Data'!Y23</f>
        <v>581.70672041712601</v>
      </c>
      <c r="M24" s="162">
        <f>'Bike Crash Data'!Z23</f>
        <v>589.76666439589781</v>
      </c>
      <c r="N24" s="162">
        <f>'Bike Crash Data'!AA23</f>
        <v>597.93828440429218</v>
      </c>
      <c r="O24" s="162">
        <f>'Bike Crash Data'!AB23</f>
        <v>606.22312778998605</v>
      </c>
      <c r="P24" s="162">
        <f>'Bike Crash Data'!AC23</f>
        <v>614.62276334021556</v>
      </c>
      <c r="Q24" s="162">
        <f>'Bike Crash Data'!AD23</f>
        <v>623.13878157883551</v>
      </c>
      <c r="R24" s="162">
        <f>'Bike Crash Data'!AE23</f>
        <v>631.77279506749528</v>
      </c>
      <c r="S24" s="162">
        <f>'Bike Crash Data'!AF23</f>
        <v>640.52643871098746</v>
      </c>
      <c r="T24" s="162">
        <f>'Bike Crash Data'!AG23</f>
        <v>649.40137006682744</v>
      </c>
      <c r="U24" s="162">
        <f>'Bike Crash Data'!AH23</f>
        <v>658.39926965912207</v>
      </c>
      <c r="V24" s="162">
        <f>'Bike Crash Data'!AI23</f>
        <v>667.52184129678778</v>
      </c>
      <c r="W24" s="162">
        <f>'Bike Crash Data'!AJ23</f>
        <v>676.77081239617735</v>
      </c>
      <c r="X24" s="162">
        <f>'Bike Crash Data'!AK23</f>
        <v>686.14793430817735</v>
      </c>
      <c r="Y24" s="162">
        <f>'Bike Crash Data'!AL23</f>
        <v>695.65498264983694</v>
      </c>
    </row>
    <row r="25" spans="1:25" s="64" customFormat="1" ht="11.4">
      <c r="A25" s="66"/>
      <c r="B25" s="56" t="s">
        <v>45</v>
      </c>
      <c r="C25" s="66"/>
      <c r="D25" s="51"/>
      <c r="E25" s="140"/>
      <c r="F25" s="162">
        <f>F24*0.005</f>
        <v>2.678041150397251</v>
      </c>
      <c r="G25" s="162">
        <f>G24*0.005</f>
        <v>2.7151472399221745</v>
      </c>
      <c r="H25" s="162">
        <f t="shared" ref="H25:Y25" si="5">H24*0.005</f>
        <v>2.7527674596648608</v>
      </c>
      <c r="I25" s="162">
        <f t="shared" si="5"/>
        <v>2.7909089332506825</v>
      </c>
      <c r="J25" s="162">
        <f t="shared" si="5"/>
        <v>2.829578883007708</v>
      </c>
      <c r="K25" s="162">
        <f t="shared" si="5"/>
        <v>2.8687846313342944</v>
      </c>
      <c r="L25" s="162">
        <f t="shared" si="5"/>
        <v>2.9085336020856301</v>
      </c>
      <c r="M25" s="162">
        <f t="shared" si="5"/>
        <v>2.9488333219794889</v>
      </c>
      <c r="N25" s="162">
        <f t="shared" si="5"/>
        <v>2.989691422021461</v>
      </c>
      <c r="O25" s="162">
        <f t="shared" si="5"/>
        <v>3.0311156389499305</v>
      </c>
      <c r="P25" s="162">
        <f t="shared" si="5"/>
        <v>3.0731138167010776</v>
      </c>
      <c r="Q25" s="162">
        <f t="shared" si="5"/>
        <v>3.1156939078941774</v>
      </c>
      <c r="R25" s="162">
        <f t="shared" si="5"/>
        <v>3.1588639753374763</v>
      </c>
      <c r="S25" s="162">
        <f t="shared" si="5"/>
        <v>3.2026321935549373</v>
      </c>
      <c r="T25" s="162">
        <f t="shared" si="5"/>
        <v>3.2470068503341372</v>
      </c>
      <c r="U25" s="162">
        <f t="shared" si="5"/>
        <v>3.2919963482956103</v>
      </c>
      <c r="V25" s="162">
        <f t="shared" si="5"/>
        <v>3.3376092064839389</v>
      </c>
      <c r="W25" s="162">
        <f t="shared" si="5"/>
        <v>3.383854061980887</v>
      </c>
      <c r="X25" s="162">
        <f t="shared" si="5"/>
        <v>3.4307396715408869</v>
      </c>
      <c r="Y25" s="162">
        <f t="shared" si="5"/>
        <v>3.4782749132491846</v>
      </c>
    </row>
    <row r="26" spans="1:25" s="64" customFormat="1" ht="11.4">
      <c r="A26" s="66"/>
      <c r="B26" s="56" t="s">
        <v>46</v>
      </c>
      <c r="C26" s="66"/>
      <c r="D26" s="51"/>
      <c r="E26" s="140"/>
      <c r="F26" s="162">
        <f>F24*0.995</f>
        <v>532.93018892905297</v>
      </c>
      <c r="G26" s="162">
        <f>G24*0.995</f>
        <v>540.31430074451271</v>
      </c>
      <c r="H26" s="162">
        <f t="shared" ref="H26:Y26" si="6">H24*0.995</f>
        <v>547.80072447330735</v>
      </c>
      <c r="I26" s="162">
        <f t="shared" si="6"/>
        <v>555.39087771688583</v>
      </c>
      <c r="J26" s="162">
        <f t="shared" si="6"/>
        <v>563.08619771853387</v>
      </c>
      <c r="K26" s="162">
        <f t="shared" si="6"/>
        <v>570.88814163552456</v>
      </c>
      <c r="L26" s="162">
        <f t="shared" si="6"/>
        <v>578.79818681504037</v>
      </c>
      <c r="M26" s="162">
        <f t="shared" si="6"/>
        <v>586.81783107391834</v>
      </c>
      <c r="N26" s="162">
        <f t="shared" si="6"/>
        <v>594.94859298227072</v>
      </c>
      <c r="O26" s="162">
        <f t="shared" si="6"/>
        <v>603.19201215103612</v>
      </c>
      <c r="P26" s="162">
        <f t="shared" si="6"/>
        <v>611.54964952351452</v>
      </c>
      <c r="Q26" s="162">
        <f t="shared" si="6"/>
        <v>620.02308767094132</v>
      </c>
      <c r="R26" s="162">
        <f t="shared" si="6"/>
        <v>628.61393109215783</v>
      </c>
      <c r="S26" s="162">
        <f t="shared" si="6"/>
        <v>637.32380651743256</v>
      </c>
      <c r="T26" s="162">
        <f t="shared" si="6"/>
        <v>646.15436321649327</v>
      </c>
      <c r="U26" s="162">
        <f t="shared" si="6"/>
        <v>655.10727331082649</v>
      </c>
      <c r="V26" s="162">
        <f t="shared" si="6"/>
        <v>664.18423209030379</v>
      </c>
      <c r="W26" s="162">
        <f t="shared" si="6"/>
        <v>673.38695833419649</v>
      </c>
      <c r="X26" s="162">
        <f t="shared" si="6"/>
        <v>682.71719463663646</v>
      </c>
      <c r="Y26" s="162">
        <f t="shared" si="6"/>
        <v>692.17670773658779</v>
      </c>
    </row>
    <row r="27" spans="1:25" s="64" customFormat="1" ht="11.4">
      <c r="A27" s="66"/>
      <c r="B27" s="53" t="s">
        <v>271</v>
      </c>
      <c r="C27" s="66"/>
      <c r="D27" s="51"/>
      <c r="E27" s="140"/>
      <c r="F27" s="68">
        <f>F28/F22</f>
        <v>5.2932764779880957E-3</v>
      </c>
      <c r="G27" s="68">
        <f>G28/G22</f>
        <v>4.2333457381312231E-3</v>
      </c>
      <c r="H27" s="68">
        <f t="shared" ref="H27:Y27" si="7">H28/H22</f>
        <v>4.1142928409230077E-3</v>
      </c>
      <c r="I27" s="68">
        <f t="shared" si="7"/>
        <v>3.9977058966349666E-3</v>
      </c>
      <c r="J27" s="68">
        <f t="shared" si="7"/>
        <v>3.883555257270258E-3</v>
      </c>
      <c r="K27" s="68">
        <f t="shared" si="7"/>
        <v>3.7718119616242142E-3</v>
      </c>
      <c r="L27" s="68">
        <f t="shared" si="7"/>
        <v>3.6624476685783443E-3</v>
      </c>
      <c r="M27" s="68">
        <f t="shared" si="7"/>
        <v>3.555434590567905E-3</v>
      </c>
      <c r="N27" s="68">
        <f t="shared" si="7"/>
        <v>3.4507454275132499E-3</v>
      </c>
      <c r="O27" s="68">
        <f t="shared" si="7"/>
        <v>3.3483533015149147E-3</v>
      </c>
      <c r="P27" s="68">
        <f t="shared" si="7"/>
        <v>3.2482316926190752E-3</v>
      </c>
      <c r="Q27" s="68">
        <f t="shared" si="7"/>
        <v>3.1503543759634936E-3</v>
      </c>
      <c r="R27" s="68">
        <f t="shared" si="7"/>
        <v>3.0546953606141224E-3</v>
      </c>
      <c r="S27" s="68">
        <f t="shared" si="7"/>
        <v>2.9612288303990982E-3</v>
      </c>
      <c r="T27" s="68">
        <f t="shared" si="7"/>
        <v>2.8699290870398304E-3</v>
      </c>
      <c r="U27" s="68">
        <f t="shared" si="7"/>
        <v>2.780770495868304E-3</v>
      </c>
      <c r="V27" s="68">
        <f t="shared" si="7"/>
        <v>2.6937274344056468E-3</v>
      </c>
      <c r="W27" s="68">
        <f t="shared" si="7"/>
        <v>2.6087742440595516E-3</v>
      </c>
      <c r="X27" s="68">
        <f t="shared" si="7"/>
        <v>2.5258851851775125E-3</v>
      </c>
      <c r="Y27" s="68">
        <f t="shared" si="7"/>
        <v>2.4450343956692426E-3</v>
      </c>
    </row>
    <row r="28" spans="1:25" s="64" customFormat="1" ht="11.4">
      <c r="A28" s="66"/>
      <c r="B28" s="53" t="s">
        <v>241</v>
      </c>
      <c r="C28" s="66"/>
      <c r="D28" s="51"/>
      <c r="E28" s="140"/>
      <c r="F28" s="162">
        <f>'Bike Crash Data'!S26</f>
        <v>536.49436333086589</v>
      </c>
      <c r="G28" s="162">
        <f>'Bike Crash Data'!T26</f>
        <v>622.67159794980614</v>
      </c>
      <c r="H28" s="162">
        <f>'Bike Crash Data'!U26</f>
        <v>634.62632402693589</v>
      </c>
      <c r="I28" s="162">
        <f>'Bike Crash Data'!V26</f>
        <v>646.90571616219631</v>
      </c>
      <c r="J28" s="162">
        <f>'Bike Crash Data'!W26</f>
        <v>659.52089060056232</v>
      </c>
      <c r="K28" s="162">
        <f>'Bike Crash Data'!X26</f>
        <v>672.48333565073176</v>
      </c>
      <c r="L28" s="162">
        <f>'Bike Crash Data'!Y26</f>
        <v>685.80492121841257</v>
      </c>
      <c r="M28" s="162">
        <f>'Bike Crash Data'!Z26</f>
        <v>699.49790848994223</v>
      </c>
      <c r="N28" s="162">
        <f>'Bike Crash Data'!AA26</f>
        <v>713.57495977471206</v>
      </c>
      <c r="O28" s="162">
        <f>'Bike Crash Data'!AB26</f>
        <v>728.0491485160145</v>
      </c>
      <c r="P28" s="162">
        <f>'Bike Crash Data'!AC26</f>
        <v>742.93396948110069</v>
      </c>
      <c r="Q28" s="162">
        <f>'Bike Crash Data'!AD26</f>
        <v>758.24334914240455</v>
      </c>
      <c r="R28" s="162">
        <f>'Bike Crash Data'!AE26</f>
        <v>773.99165626307467</v>
      </c>
      <c r="S28" s="162">
        <f>'Bike Crash Data'!AF26</f>
        <v>790.19371270112219</v>
      </c>
      <c r="T28" s="162">
        <f>'Bike Crash Data'!AG26</f>
        <v>806.86480444764277</v>
      </c>
      <c r="U28" s="162">
        <f>'Bike Crash Data'!AH26</f>
        <v>824.02069291569899</v>
      </c>
      <c r="V28" s="162">
        <f>'Bike Crash Data'!AI26</f>
        <v>841.67762649753126</v>
      </c>
      <c r="W28" s="162">
        <f>'Bike Crash Data'!AJ26</f>
        <v>859.85235240881525</v>
      </c>
      <c r="X28" s="162">
        <f>'Bike Crash Data'!AK26</f>
        <v>878.56212883966373</v>
      </c>
      <c r="Y28" s="162">
        <f>'Bike Crash Data'!AL26</f>
        <v>897.82473743300841</v>
      </c>
    </row>
    <row r="29" spans="1:25" s="64" customFormat="1" ht="11.4">
      <c r="A29" s="66"/>
      <c r="B29" s="56" t="s">
        <v>45</v>
      </c>
      <c r="C29" s="66"/>
      <c r="D29" s="51"/>
      <c r="E29" s="140"/>
      <c r="F29" s="162">
        <f>F28*0.005</f>
        <v>2.6824718166543295</v>
      </c>
      <c r="G29" s="162">
        <f>G28*0.005</f>
        <v>3.1133579897490309</v>
      </c>
      <c r="H29" s="162">
        <f t="shared" ref="H29:Y29" si="8">H28*0.005</f>
        <v>3.1731316201346793</v>
      </c>
      <c r="I29" s="162">
        <f t="shared" si="8"/>
        <v>3.2345285808109816</v>
      </c>
      <c r="J29" s="162">
        <f t="shared" si="8"/>
        <v>3.2976044530028119</v>
      </c>
      <c r="K29" s="162">
        <f t="shared" si="8"/>
        <v>3.3624166782536591</v>
      </c>
      <c r="L29" s="162">
        <f t="shared" si="8"/>
        <v>3.4290246060920628</v>
      </c>
      <c r="M29" s="162">
        <f t="shared" si="8"/>
        <v>3.4974895424497112</v>
      </c>
      <c r="N29" s="162">
        <f t="shared" si="8"/>
        <v>3.5678747988735604</v>
      </c>
      <c r="O29" s="162">
        <f t="shared" si="8"/>
        <v>3.6402457425800727</v>
      </c>
      <c r="P29" s="162">
        <f t="shared" si="8"/>
        <v>3.7146698474055033</v>
      </c>
      <c r="Q29" s="162">
        <f t="shared" si="8"/>
        <v>3.7912167457120227</v>
      </c>
      <c r="R29" s="162">
        <f t="shared" si="8"/>
        <v>3.8699582813153737</v>
      </c>
      <c r="S29" s="162">
        <f t="shared" si="8"/>
        <v>3.9509685635056111</v>
      </c>
      <c r="T29" s="162">
        <f t="shared" si="8"/>
        <v>4.0343240222382137</v>
      </c>
      <c r="U29" s="162">
        <f t="shared" si="8"/>
        <v>4.1201034645784951</v>
      </c>
      <c r="V29" s="162">
        <f t="shared" si="8"/>
        <v>4.2083881324876566</v>
      </c>
      <c r="W29" s="162">
        <f t="shared" si="8"/>
        <v>4.2992617620440763</v>
      </c>
      <c r="X29" s="162">
        <f t="shared" si="8"/>
        <v>4.3928106441983186</v>
      </c>
      <c r="Y29" s="162">
        <f t="shared" si="8"/>
        <v>4.4891236871650424</v>
      </c>
    </row>
    <row r="30" spans="1:25" s="64" customFormat="1" ht="11.4">
      <c r="A30" s="66"/>
      <c r="B30" s="56" t="s">
        <v>46</v>
      </c>
      <c r="C30" s="66"/>
      <c r="D30" s="51"/>
      <c r="E30" s="140"/>
      <c r="F30" s="162">
        <f>F28*0.995</f>
        <v>533.81189151421154</v>
      </c>
      <c r="G30" s="162">
        <f>G28*0.995</f>
        <v>619.55823996005711</v>
      </c>
      <c r="H30" s="162">
        <f t="shared" ref="H30:Y30" si="9">H28*0.995</f>
        <v>631.45319240680124</v>
      </c>
      <c r="I30" s="162">
        <f t="shared" si="9"/>
        <v>643.67118758138531</v>
      </c>
      <c r="J30" s="162">
        <f t="shared" si="9"/>
        <v>656.22328614755952</v>
      </c>
      <c r="K30" s="162">
        <f t="shared" si="9"/>
        <v>669.12091897247808</v>
      </c>
      <c r="L30" s="162">
        <f t="shared" si="9"/>
        <v>682.3758966123205</v>
      </c>
      <c r="M30" s="162">
        <f t="shared" si="9"/>
        <v>696.00041894749256</v>
      </c>
      <c r="N30" s="162">
        <f t="shared" si="9"/>
        <v>710.00708497583844</v>
      </c>
      <c r="O30" s="162">
        <f t="shared" si="9"/>
        <v>724.40890277343442</v>
      </c>
      <c r="P30" s="162">
        <f t="shared" si="9"/>
        <v>739.21929963369519</v>
      </c>
      <c r="Q30" s="162">
        <f t="shared" si="9"/>
        <v>754.45213239669249</v>
      </c>
      <c r="R30" s="162">
        <f t="shared" si="9"/>
        <v>770.12169798175933</v>
      </c>
      <c r="S30" s="162">
        <f t="shared" si="9"/>
        <v>786.24274413761657</v>
      </c>
      <c r="T30" s="162">
        <f t="shared" si="9"/>
        <v>802.83048042540452</v>
      </c>
      <c r="U30" s="162">
        <f t="shared" si="9"/>
        <v>819.90058945112048</v>
      </c>
      <c r="V30" s="162">
        <f t="shared" si="9"/>
        <v>837.46923836504357</v>
      </c>
      <c r="W30" s="162">
        <f t="shared" si="9"/>
        <v>855.55309064677112</v>
      </c>
      <c r="X30" s="162">
        <f t="shared" si="9"/>
        <v>874.16931819546539</v>
      </c>
      <c r="Y30" s="162">
        <f t="shared" si="9"/>
        <v>893.33561374584337</v>
      </c>
    </row>
    <row r="31" spans="1:25" s="64" customFormat="1" ht="11.4">
      <c r="A31" s="66"/>
      <c r="B31" s="53" t="s">
        <v>268</v>
      </c>
      <c r="C31" s="66"/>
      <c r="D31" s="51"/>
      <c r="E31" s="140"/>
      <c r="F31" s="162"/>
      <c r="G31" s="162"/>
      <c r="H31" s="162"/>
      <c r="I31" s="162"/>
      <c r="J31" s="162"/>
      <c r="K31" s="162"/>
      <c r="L31" s="162"/>
      <c r="M31" s="162"/>
      <c r="N31" s="162"/>
      <c r="O31" s="162"/>
      <c r="P31" s="162"/>
      <c r="Q31" s="162"/>
      <c r="R31" s="162"/>
      <c r="S31" s="162"/>
      <c r="T31" s="162"/>
      <c r="U31" s="162"/>
      <c r="V31" s="162"/>
      <c r="W31" s="162"/>
      <c r="X31" s="162"/>
      <c r="Y31" s="162"/>
    </row>
    <row r="32" spans="1:25" s="64" customFormat="1" ht="11.4">
      <c r="A32" s="66"/>
      <c r="B32" s="56" t="s">
        <v>45</v>
      </c>
      <c r="C32" s="66"/>
      <c r="D32" s="51"/>
      <c r="E32" s="140"/>
      <c r="F32" s="162">
        <f>F29-F25</f>
        <v>4.4306662570785527E-3</v>
      </c>
      <c r="G32" s="162">
        <f>G29-G25</f>
        <v>0.39821074982685634</v>
      </c>
      <c r="H32" s="162">
        <f t="shared" ref="H32:Y32" si="10">H29-H25</f>
        <v>0.4203641604698185</v>
      </c>
      <c r="I32" s="162">
        <f t="shared" si="10"/>
        <v>0.44361964756029915</v>
      </c>
      <c r="J32" s="162">
        <f t="shared" si="10"/>
        <v>0.46802556999510392</v>
      </c>
      <c r="K32" s="162">
        <f t="shared" si="10"/>
        <v>0.49363204691936469</v>
      </c>
      <c r="L32" s="162">
        <f t="shared" si="10"/>
        <v>0.52049100400643278</v>
      </c>
      <c r="M32" s="162">
        <f t="shared" si="10"/>
        <v>0.54865622047022233</v>
      </c>
      <c r="N32" s="162">
        <f t="shared" si="10"/>
        <v>0.57818337685209942</v>
      </c>
      <c r="O32" s="162">
        <f t="shared" si="10"/>
        <v>0.60913010363014219</v>
      </c>
      <c r="P32" s="162">
        <f t="shared" si="10"/>
        <v>0.64155603070442568</v>
      </c>
      <c r="Q32" s="162">
        <f t="shared" si="10"/>
        <v>0.67552283781784528</v>
      </c>
      <c r="R32" s="162">
        <f t="shared" si="10"/>
        <v>0.71109430597789736</v>
      </c>
      <c r="S32" s="162">
        <f t="shared" si="10"/>
        <v>0.74833636995067376</v>
      </c>
      <c r="T32" s="162">
        <f t="shared" si="10"/>
        <v>0.78731717190407657</v>
      </c>
      <c r="U32" s="162">
        <f t="shared" si="10"/>
        <v>0.8281071162828848</v>
      </c>
      <c r="V32" s="162">
        <f t="shared" si="10"/>
        <v>0.87077892600371776</v>
      </c>
      <c r="W32" s="162">
        <f t="shared" si="10"/>
        <v>0.91540770006318928</v>
      </c>
      <c r="X32" s="162">
        <f t="shared" si="10"/>
        <v>0.96207097265743169</v>
      </c>
      <c r="Y32" s="162">
        <f t="shared" si="10"/>
        <v>1.0108487739158578</v>
      </c>
    </row>
    <row r="33" spans="1:26" s="64" customFormat="1" ht="11.4">
      <c r="A33" s="66"/>
      <c r="B33" s="56" t="s">
        <v>46</v>
      </c>
      <c r="C33" s="66"/>
      <c r="D33" s="51"/>
      <c r="E33" s="140"/>
      <c r="F33" s="162">
        <f>F30-F26</f>
        <v>0.88170258515856403</v>
      </c>
      <c r="G33" s="162">
        <f>G30-G26</f>
        <v>79.243939215544401</v>
      </c>
      <c r="H33" s="162">
        <f t="shared" ref="H33:Y33" si="11">H30-H26</f>
        <v>83.652467933493881</v>
      </c>
      <c r="I33" s="162">
        <f t="shared" si="11"/>
        <v>88.280309864499486</v>
      </c>
      <c r="J33" s="162">
        <f t="shared" si="11"/>
        <v>93.137088429025653</v>
      </c>
      <c r="K33" s="162">
        <f t="shared" si="11"/>
        <v>98.232777336953518</v>
      </c>
      <c r="L33" s="162">
        <f t="shared" si="11"/>
        <v>103.57770979728014</v>
      </c>
      <c r="M33" s="162">
        <f t="shared" si="11"/>
        <v>109.18258787357422</v>
      </c>
      <c r="N33" s="162">
        <f t="shared" si="11"/>
        <v>115.05849199356771</v>
      </c>
      <c r="O33" s="162">
        <f t="shared" si="11"/>
        <v>121.2168906223983</v>
      </c>
      <c r="P33" s="162">
        <f t="shared" si="11"/>
        <v>127.66965011018067</v>
      </c>
      <c r="Q33" s="162">
        <f t="shared" si="11"/>
        <v>134.42904472575117</v>
      </c>
      <c r="R33" s="162">
        <f t="shared" si="11"/>
        <v>141.5077668896015</v>
      </c>
      <c r="S33" s="162">
        <f t="shared" si="11"/>
        <v>148.91893762018401</v>
      </c>
      <c r="T33" s="162">
        <f t="shared" si="11"/>
        <v>156.67611720891125</v>
      </c>
      <c r="U33" s="162">
        <f t="shared" si="11"/>
        <v>164.793316140294</v>
      </c>
      <c r="V33" s="162">
        <f t="shared" si="11"/>
        <v>173.28500627473977</v>
      </c>
      <c r="W33" s="162">
        <f t="shared" si="11"/>
        <v>182.16613231257463</v>
      </c>
      <c r="X33" s="162">
        <f t="shared" si="11"/>
        <v>191.45212355882893</v>
      </c>
      <c r="Y33" s="162">
        <f t="shared" si="11"/>
        <v>201.15890600925559</v>
      </c>
    </row>
    <row r="34" spans="1:26" s="64" customFormat="1" ht="12">
      <c r="A34" s="66"/>
      <c r="B34" s="53" t="s">
        <v>44</v>
      </c>
      <c r="C34" s="66"/>
      <c r="D34" s="51"/>
      <c r="E34" s="140"/>
      <c r="F34" s="162"/>
      <c r="G34" s="162"/>
      <c r="H34" s="163"/>
      <c r="I34" s="163"/>
      <c r="J34" s="163"/>
      <c r="K34" s="163"/>
      <c r="L34" s="164"/>
      <c r="M34" s="163"/>
      <c r="N34" s="163"/>
      <c r="O34" s="163"/>
      <c r="P34" s="163"/>
      <c r="Q34" s="163"/>
      <c r="R34" s="163"/>
      <c r="S34" s="163"/>
      <c r="T34" s="163"/>
      <c r="U34" s="163"/>
      <c r="V34" s="163"/>
      <c r="W34" s="163"/>
      <c r="X34" s="163"/>
      <c r="Y34" s="163"/>
    </row>
    <row r="35" spans="1:26" s="64" customFormat="1" ht="11.4">
      <c r="A35" s="66"/>
      <c r="B35" s="56" t="s">
        <v>45</v>
      </c>
      <c r="C35" s="66"/>
      <c r="D35" s="51"/>
      <c r="E35" s="140"/>
      <c r="F35" s="67">
        <f>H35</f>
        <v>6000000</v>
      </c>
      <c r="G35" s="67">
        <f>'Price Assumptions'!B40</f>
        <v>6000000</v>
      </c>
      <c r="H35" s="67">
        <f>G35</f>
        <v>6000000</v>
      </c>
      <c r="I35" s="67">
        <f t="shared" ref="I35:Y35" si="12">H35</f>
        <v>6000000</v>
      </c>
      <c r="J35" s="67">
        <f t="shared" si="12"/>
        <v>6000000</v>
      </c>
      <c r="K35" s="67">
        <f t="shared" si="12"/>
        <v>6000000</v>
      </c>
      <c r="L35" s="67">
        <f t="shared" si="12"/>
        <v>6000000</v>
      </c>
      <c r="M35" s="67">
        <f t="shared" si="12"/>
        <v>6000000</v>
      </c>
      <c r="N35" s="67">
        <f t="shared" si="12"/>
        <v>6000000</v>
      </c>
      <c r="O35" s="67">
        <f t="shared" si="12"/>
        <v>6000000</v>
      </c>
      <c r="P35" s="67">
        <f t="shared" si="12"/>
        <v>6000000</v>
      </c>
      <c r="Q35" s="67">
        <f t="shared" si="12"/>
        <v>6000000</v>
      </c>
      <c r="R35" s="67">
        <f t="shared" si="12"/>
        <v>6000000</v>
      </c>
      <c r="S35" s="67">
        <f t="shared" si="12"/>
        <v>6000000</v>
      </c>
      <c r="T35" s="67">
        <f t="shared" si="12"/>
        <v>6000000</v>
      </c>
      <c r="U35" s="67">
        <f t="shared" si="12"/>
        <v>6000000</v>
      </c>
      <c r="V35" s="67">
        <f t="shared" si="12"/>
        <v>6000000</v>
      </c>
      <c r="W35" s="67">
        <f t="shared" si="12"/>
        <v>6000000</v>
      </c>
      <c r="X35" s="67">
        <f t="shared" si="12"/>
        <v>6000000</v>
      </c>
      <c r="Y35" s="67">
        <f t="shared" si="12"/>
        <v>6000000</v>
      </c>
    </row>
    <row r="36" spans="1:26" s="64" customFormat="1" ht="11.4">
      <c r="A36" s="66"/>
      <c r="B36" s="56" t="s">
        <v>46</v>
      </c>
      <c r="C36" s="66"/>
      <c r="D36" s="51"/>
      <c r="E36" s="140"/>
      <c r="F36" s="67">
        <f>H36</f>
        <v>93000</v>
      </c>
      <c r="G36" s="67">
        <f>'Price Assumptions'!B36</f>
        <v>93000</v>
      </c>
      <c r="H36" s="67">
        <f>G36</f>
        <v>93000</v>
      </c>
      <c r="I36" s="67">
        <f t="shared" ref="I36:Y36" si="13">H36</f>
        <v>93000</v>
      </c>
      <c r="J36" s="67">
        <f t="shared" si="13"/>
        <v>93000</v>
      </c>
      <c r="K36" s="67">
        <f t="shared" si="13"/>
        <v>93000</v>
      </c>
      <c r="L36" s="67">
        <f t="shared" si="13"/>
        <v>93000</v>
      </c>
      <c r="M36" s="67">
        <f t="shared" si="13"/>
        <v>93000</v>
      </c>
      <c r="N36" s="67">
        <f t="shared" si="13"/>
        <v>93000</v>
      </c>
      <c r="O36" s="67">
        <f t="shared" si="13"/>
        <v>93000</v>
      </c>
      <c r="P36" s="67">
        <f t="shared" si="13"/>
        <v>93000</v>
      </c>
      <c r="Q36" s="67">
        <f t="shared" si="13"/>
        <v>93000</v>
      </c>
      <c r="R36" s="67">
        <f t="shared" si="13"/>
        <v>93000</v>
      </c>
      <c r="S36" s="67">
        <f t="shared" si="13"/>
        <v>93000</v>
      </c>
      <c r="T36" s="67">
        <f t="shared" si="13"/>
        <v>93000</v>
      </c>
      <c r="U36" s="67">
        <f t="shared" si="13"/>
        <v>93000</v>
      </c>
      <c r="V36" s="67">
        <f t="shared" si="13"/>
        <v>93000</v>
      </c>
      <c r="W36" s="67">
        <f t="shared" si="13"/>
        <v>93000</v>
      </c>
      <c r="X36" s="67">
        <f t="shared" si="13"/>
        <v>93000</v>
      </c>
      <c r="Y36" s="67">
        <f t="shared" si="13"/>
        <v>93000</v>
      </c>
    </row>
    <row r="37" spans="1:26" s="64" customFormat="1" ht="12">
      <c r="A37" s="66"/>
      <c r="B37" s="55" t="s">
        <v>269</v>
      </c>
      <c r="C37" s="66"/>
      <c r="D37" s="51"/>
      <c r="E37" s="140"/>
      <c r="F37" s="67">
        <f t="shared" ref="F37" si="14">(F35*F32)+(F33*F36)</f>
        <v>108582.33796221777</v>
      </c>
      <c r="G37" s="67">
        <f t="shared" ref="G37:Y37" si="15">(G35*G32)+(G33*G36)</f>
        <v>9758950.8460067678</v>
      </c>
      <c r="H37" s="67">
        <f t="shared" si="15"/>
        <v>10301864.480633842</v>
      </c>
      <c r="I37" s="67">
        <f t="shared" si="15"/>
        <v>10871786.702760248</v>
      </c>
      <c r="J37" s="67">
        <f t="shared" si="15"/>
        <v>11469902.643870009</v>
      </c>
      <c r="K37" s="67">
        <f t="shared" si="15"/>
        <v>12097440.573852865</v>
      </c>
      <c r="L37" s="67">
        <f t="shared" si="15"/>
        <v>12755673.035185648</v>
      </c>
      <c r="M37" s="67">
        <f t="shared" si="15"/>
        <v>13445917.995063737</v>
      </c>
      <c r="N37" s="67">
        <f t="shared" si="15"/>
        <v>14169540.016514394</v>
      </c>
      <c r="O37" s="67">
        <f t="shared" si="15"/>
        <v>14927951.449663896</v>
      </c>
      <c r="P37" s="67">
        <f t="shared" si="15"/>
        <v>15722613.644473355</v>
      </c>
      <c r="Q37" s="67">
        <f t="shared" si="15"/>
        <v>16555038.18640193</v>
      </c>
      <c r="R37" s="67">
        <f t="shared" si="15"/>
        <v>17426788.156600326</v>
      </c>
      <c r="S37" s="67">
        <f t="shared" si="15"/>
        <v>18339479.418381155</v>
      </c>
      <c r="T37" s="67">
        <f t="shared" si="15"/>
        <v>19294781.931853205</v>
      </c>
      <c r="U37" s="67">
        <f t="shared" si="15"/>
        <v>20294421.098744649</v>
      </c>
      <c r="V37" s="67">
        <f t="shared" si="15"/>
        <v>21340179.139573105</v>
      </c>
      <c r="W37" s="67">
        <f t="shared" si="15"/>
        <v>22433896.505448576</v>
      </c>
      <c r="X37" s="67">
        <f t="shared" si="15"/>
        <v>23577473.326915681</v>
      </c>
      <c r="Y37" s="67">
        <f t="shared" si="15"/>
        <v>24772870.902355917</v>
      </c>
    </row>
    <row r="38" spans="1:26" s="176" customFormat="1" ht="12">
      <c r="A38" s="173"/>
      <c r="B38" s="174" t="s">
        <v>292</v>
      </c>
      <c r="C38" s="173"/>
      <c r="D38" s="173"/>
      <c r="E38" s="186">
        <f>SUM(F38:Y38)</f>
        <v>210304254.55772284</v>
      </c>
      <c r="F38" s="175">
        <f t="shared" ref="F38" si="16">F46*F37</f>
        <v>102349.26756736523</v>
      </c>
      <c r="G38" s="175">
        <f t="shared" ref="G38:Y38" si="17">G46*G37</f>
        <v>8930822.4707605541</v>
      </c>
      <c r="H38" s="175">
        <f t="shared" si="17"/>
        <v>9153073.1604258548</v>
      </c>
      <c r="I38" s="175">
        <f t="shared" si="17"/>
        <v>9378098.711751936</v>
      </c>
      <c r="J38" s="175">
        <f t="shared" si="17"/>
        <v>9605862.8899353575</v>
      </c>
      <c r="K38" s="175">
        <f t="shared" si="17"/>
        <v>9836326.2395804357</v>
      </c>
      <c r="L38" s="175">
        <f t="shared" si="17"/>
        <v>10069446.083864819</v>
      </c>
      <c r="M38" s="175">
        <f t="shared" si="17"/>
        <v>10305176.533137122</v>
      </c>
      <c r="N38" s="175">
        <f t="shared" si="17"/>
        <v>10543468.503174003</v>
      </c>
      <c r="O38" s="175">
        <f t="shared" si="17"/>
        <v>10784269.743270537</v>
      </c>
      <c r="P38" s="175">
        <f t="shared" si="17"/>
        <v>11027524.874281129</v>
      </c>
      <c r="Q38" s="175">
        <f t="shared" si="17"/>
        <v>11273175.436668623</v>
      </c>
      <c r="R38" s="175">
        <f t="shared" si="17"/>
        <v>11521159.948557507</v>
      </c>
      <c r="S38" s="175">
        <f t="shared" si="17"/>
        <v>11771413.973724151</v>
      </c>
      <c r="T38" s="175">
        <f t="shared" si="17"/>
        <v>12023870.199392527</v>
      </c>
      <c r="U38" s="175">
        <f t="shared" si="17"/>
        <v>12278458.523639625</v>
      </c>
      <c r="V38" s="175">
        <f t="shared" si="17"/>
        <v>12535106.152150726</v>
      </c>
      <c r="W38" s="175">
        <f t="shared" si="17"/>
        <v>12793737.704002196</v>
      </c>
      <c r="X38" s="175">
        <f t="shared" si="17"/>
        <v>13054275.326088237</v>
      </c>
      <c r="Y38" s="175">
        <f t="shared" si="17"/>
        <v>13316638.815750122</v>
      </c>
      <c r="Z38" s="175"/>
    </row>
    <row r="39" spans="1:26" s="176" customFormat="1" ht="12">
      <c r="A39" s="173"/>
      <c r="B39" s="174" t="s">
        <v>293</v>
      </c>
      <c r="C39" s="173"/>
      <c r="D39" s="173"/>
      <c r="E39" s="186">
        <f>SUM(F39:Y39)</f>
        <v>132690683.37452969</v>
      </c>
      <c r="F39" s="175">
        <f t="shared" ref="F39" si="18">F48*F37</f>
        <v>94840.019182651551</v>
      </c>
      <c r="G39" s="175">
        <f t="shared" ref="G39:Y39" si="19">G48*G37</f>
        <v>7966210.8562775077</v>
      </c>
      <c r="H39" s="175">
        <f t="shared" si="19"/>
        <v>7859243.0874380227</v>
      </c>
      <c r="I39" s="175">
        <f t="shared" si="19"/>
        <v>7751433.6653623767</v>
      </c>
      <c r="J39" s="175">
        <f t="shared" si="19"/>
        <v>7642880.4346752381</v>
      </c>
      <c r="K39" s="175">
        <f t="shared" si="19"/>
        <v>7533677.9948310517</v>
      </c>
      <c r="L39" s="175">
        <f t="shared" si="19"/>
        <v>7423917.8413328044</v>
      </c>
      <c r="M39" s="175">
        <f t="shared" si="19"/>
        <v>7313688.4975345628</v>
      </c>
      <c r="N39" s="175">
        <f t="shared" si="19"/>
        <v>7203075.6372696497</v>
      </c>
      <c r="O39" s="175">
        <f t="shared" si="19"/>
        <v>7092162.1985589489</v>
      </c>
      <c r="P39" s="175">
        <f t="shared" si="19"/>
        <v>6981028.4886677321</v>
      </c>
      <c r="Q39" s="175">
        <f t="shared" si="19"/>
        <v>6869752.2807939332</v>
      </c>
      <c r="R39" s="175">
        <f t="shared" si="19"/>
        <v>6758408.9026861321</v>
      </c>
      <c r="S39" s="175">
        <f t="shared" si="19"/>
        <v>6647071.3175052265</v>
      </c>
      <c r="T39" s="175">
        <f t="shared" si="19"/>
        <v>6535810.1972593591</v>
      </c>
      <c r="U39" s="175">
        <f t="shared" si="19"/>
        <v>6424693.9891570648</v>
      </c>
      <c r="V39" s="175">
        <f t="shared" si="19"/>
        <v>6313788.9752385737</v>
      </c>
      <c r="W39" s="175">
        <f t="shared" si="19"/>
        <v>6203159.3256592834</v>
      </c>
      <c r="X39" s="175">
        <f t="shared" si="19"/>
        <v>6092867.1460121376</v>
      </c>
      <c r="Y39" s="175">
        <f t="shared" si="19"/>
        <v>5982972.5190874012</v>
      </c>
      <c r="Z39" s="175"/>
    </row>
    <row r="40" spans="1:26" s="64" customFormat="1" ht="12">
      <c r="A40" s="66"/>
      <c r="B40" s="57"/>
      <c r="C40" s="66"/>
      <c r="D40" s="51"/>
      <c r="E40" s="140"/>
      <c r="F40" s="51"/>
      <c r="G40" s="68"/>
      <c r="L40" s="72"/>
    </row>
    <row r="41" spans="1:26" s="64" customFormat="1" ht="12">
      <c r="A41" s="66"/>
      <c r="B41" s="58" t="s">
        <v>118</v>
      </c>
      <c r="C41" s="66"/>
      <c r="D41" s="51"/>
      <c r="E41" s="140"/>
      <c r="F41" s="51"/>
      <c r="G41" s="68"/>
      <c r="L41" s="72"/>
    </row>
    <row r="42" spans="1:26" s="64" customFormat="1" ht="11.4">
      <c r="A42" s="66"/>
      <c r="B42" s="65" t="s">
        <v>117</v>
      </c>
      <c r="C42" s="66"/>
      <c r="D42" s="51"/>
      <c r="E42" s="140"/>
      <c r="F42" s="77">
        <f>'Bike Operating Assumptions'!D21</f>
        <v>0.13139269406392692</v>
      </c>
      <c r="G42" s="77">
        <f>'Bike Operating Assumptions'!E21</f>
        <v>9.1114621186678443E-2</v>
      </c>
      <c r="H42" s="77">
        <f>'Bike Operating Assumptions'!F21</f>
        <v>8.8844081249669568E-2</v>
      </c>
      <c r="I42" s="77">
        <f>'Bike Operating Assumptions'!G21</f>
        <v>8.6701174194057457E-2</v>
      </c>
      <c r="J42" s="77">
        <f>'Bike Operating Assumptions'!H21</f>
        <v>8.4677921852521418E-2</v>
      </c>
      <c r="K42" s="77">
        <f>'Bike Operating Assumptions'!I21</f>
        <v>8.2766908245314505E-2</v>
      </c>
      <c r="L42" s="77">
        <f>'Bike Operating Assumptions'!J21</f>
        <v>8.0961234413266261E-2</v>
      </c>
      <c r="M42" s="77">
        <f>'Bike Operating Assumptions'!K21</f>
        <v>7.9254477398489259E-2</v>
      </c>
      <c r="N42" s="77">
        <f>'Bike Operating Assumptions'!L21</f>
        <v>7.7640652940349456E-2</v>
      </c>
      <c r="O42" s="77">
        <f>'Bike Operating Assumptions'!M21</f>
        <v>7.6114181504847334E-2</v>
      </c>
      <c r="P42" s="77">
        <f>'Bike Operating Assumptions'!N21</f>
        <v>7.4669857309586932E-2</v>
      </c>
      <c r="Q42" s="77">
        <f>'Bike Operating Assumptions'!O21</f>
        <v>7.3302820044915756E-2</v>
      </c>
      <c r="R42" s="77">
        <f>'Bike Operating Assumptions'!P21</f>
        <v>7.2008529025387208E-2</v>
      </c>
      <c r="S42" s="77">
        <f>'Bike Operating Assumptions'!Q21</f>
        <v>7.0782739535094244E-2</v>
      </c>
      <c r="T42" s="77">
        <f>'Bike Operating Assumptions'!R21</f>
        <v>6.962148115621912E-2</v>
      </c>
      <c r="U42" s="77">
        <f>'Bike Operating Assumptions'!S21</f>
        <v>6.8521037892819353E-2</v>
      </c>
      <c r="V42" s="77">
        <f>'Bike Operating Assumptions'!T21</f>
        <v>6.7477929921842497E-2</v>
      </c>
      <c r="W42" s="77">
        <f>'Bike Operating Assumptions'!U21</f>
        <v>6.6488896820980151E-2</v>
      </c>
      <c r="X42" s="77">
        <f>'Bike Operating Assumptions'!V21</f>
        <v>6.5550882138544111E-2</v>
      </c>
      <c r="Y42" s="77">
        <f>'Bike Operating Assumptions'!W21</f>
        <v>6.4661019184330606E-2</v>
      </c>
    </row>
    <row r="43" spans="1:26" s="64" customFormat="1" ht="11.4">
      <c r="A43" s="51"/>
      <c r="B43" s="65" t="s">
        <v>106</v>
      </c>
      <c r="C43" s="51"/>
      <c r="D43" s="51"/>
      <c r="E43" s="140"/>
      <c r="F43" s="67">
        <f t="shared" ref="F43:Y43" si="20">F42*F13</f>
        <v>86.719178082191775</v>
      </c>
      <c r="G43" s="67">
        <f t="shared" si="20"/>
        <v>7094.4520547945194</v>
      </c>
      <c r="H43" s="67">
        <f t="shared" si="20"/>
        <v>7498.9501969178091</v>
      </c>
      <c r="I43" s="67">
        <f t="shared" si="20"/>
        <v>7931.2579948148541</v>
      </c>
      <c r="J43" s="67">
        <f t="shared" si="20"/>
        <v>8393.4392387163116</v>
      </c>
      <c r="K43" s="67">
        <f t="shared" si="20"/>
        <v>8887.7146342764463</v>
      </c>
      <c r="L43" s="67">
        <f t="shared" si="20"/>
        <v>9416.4738052061166</v>
      </c>
      <c r="M43" s="67">
        <f t="shared" si="20"/>
        <v>9982.288214535296</v>
      </c>
      <c r="N43" s="67">
        <f t="shared" si="20"/>
        <v>10587.92507476205</v>
      </c>
      <c r="O43" s="67">
        <f t="shared" si="20"/>
        <v>11236.362322513642</v>
      </c>
      <c r="P43" s="67">
        <f t="shared" si="20"/>
        <v>11930.804739124167</v>
      </c>
      <c r="Q43" s="67">
        <f t="shared" si="20"/>
        <v>12674.701304753016</v>
      </c>
      <c r="R43" s="67">
        <f t="shared" si="20"/>
        <v>13471.763880363575</v>
      </c>
      <c r="S43" s="67">
        <f t="shared" si="20"/>
        <v>14325.987319087577</v>
      </c>
      <c r="T43" s="67">
        <f t="shared" si="20"/>
        <v>15241.671116256946</v>
      </c>
      <c r="U43" s="67">
        <f t="shared" si="20"/>
        <v>16223.44271573351</v>
      </c>
      <c r="V43" s="67">
        <f t="shared" si="20"/>
        <v>17276.282599153041</v>
      </c>
      <c r="W43" s="67">
        <f t="shared" si="20"/>
        <v>18405.551294371988</v>
      </c>
      <c r="X43" s="67">
        <f t="shared" si="20"/>
        <v>19617.018449815834</v>
      </c>
      <c r="Y43" s="67">
        <f t="shared" si="20"/>
        <v>20916.894132633097</v>
      </c>
    </row>
    <row r="44" spans="1:26" s="64" customFormat="1" ht="12">
      <c r="A44" s="51"/>
      <c r="B44" s="75"/>
      <c r="C44" s="51"/>
      <c r="D44" s="51"/>
      <c r="E44" s="140"/>
      <c r="F44" s="51"/>
      <c r="G44" s="68"/>
      <c r="L44" s="72"/>
    </row>
    <row r="45" spans="1:26" s="125" customFormat="1" ht="12">
      <c r="A45" s="123"/>
      <c r="B45" s="122" t="s">
        <v>192</v>
      </c>
      <c r="C45" s="123"/>
      <c r="D45" s="123"/>
      <c r="E45" s="141">
        <f>SUM(F45:Y45)</f>
        <v>-451634447.78086495</v>
      </c>
      <c r="F45" s="124">
        <f t="shared" ref="F45:Y45" si="21">-(F6+F10+F37)</f>
        <v>-1010896.3379622177</v>
      </c>
      <c r="G45" s="124">
        <f t="shared" si="21"/>
        <v>-29102076.846006766</v>
      </c>
      <c r="H45" s="124">
        <f t="shared" si="21"/>
        <v>-15798060.470633842</v>
      </c>
      <c r="I45" s="124">
        <f t="shared" si="21"/>
        <v>-16497887.592510246</v>
      </c>
      <c r="J45" s="124">
        <f t="shared" si="21"/>
        <v>-17229156.05586376</v>
      </c>
      <c r="K45" s="124">
        <f t="shared" si="21"/>
        <v>-17993175.321146458</v>
      </c>
      <c r="L45" s="124">
        <f t="shared" si="21"/>
        <v>-18791301.151161581</v>
      </c>
      <c r="M45" s="124">
        <f t="shared" si="21"/>
        <v>-19624936.813939068</v>
      </c>
      <c r="N45" s="124">
        <f t="shared" si="21"/>
        <v>-20495534.305861607</v>
      </c>
      <c r="O45" s="124">
        <f t="shared" si="21"/>
        <v>-21404595.59624479</v>
      </c>
      <c r="P45" s="124">
        <f t="shared" si="21"/>
        <v>-22353673.894718774</v>
      </c>
      <c r="Q45" s="124">
        <f t="shared" si="21"/>
        <v>-23344374.942903481</v>
      </c>
      <c r="R45" s="124">
        <f t="shared" si="21"/>
        <v>-24378358.332014419</v>
      </c>
      <c r="S45" s="124">
        <f t="shared" si="21"/>
        <v>-25457338.8481806</v>
      </c>
      <c r="T45" s="124">
        <f t="shared" si="21"/>
        <v>-26583087.847397633</v>
      </c>
      <c r="U45" s="124">
        <f t="shared" si="21"/>
        <v>-27757434.662177689</v>
      </c>
      <c r="V45" s="124">
        <f t="shared" si="21"/>
        <v>-28982268.042091969</v>
      </c>
      <c r="W45" s="124">
        <f t="shared" si="21"/>
        <v>-30259537.630530413</v>
      </c>
      <c r="X45" s="124">
        <f t="shared" si="21"/>
        <v>-31591255.480124563</v>
      </c>
      <c r="Y45" s="124">
        <f t="shared" si="21"/>
        <v>-32979497.609395023</v>
      </c>
    </row>
    <row r="46" spans="1:26" s="125" customFormat="1" ht="12">
      <c r="A46" s="123"/>
      <c r="B46" s="90" t="s">
        <v>294</v>
      </c>
      <c r="C46" s="123"/>
      <c r="D46" s="123"/>
      <c r="E46" s="141"/>
      <c r="F46" s="171">
        <v>0.94259590913375435</v>
      </c>
      <c r="G46" s="171">
        <v>0.91514165935315961</v>
      </c>
      <c r="H46" s="171">
        <v>0.888487047915689</v>
      </c>
      <c r="I46" s="171">
        <v>0.86260878438416411</v>
      </c>
      <c r="J46" s="171">
        <v>0.83748425668365445</v>
      </c>
      <c r="K46" s="171">
        <v>0.81309151134335378</v>
      </c>
      <c r="L46" s="171">
        <v>0.78940923431393573</v>
      </c>
      <c r="M46" s="171">
        <v>0.76641673234362695</v>
      </c>
      <c r="N46" s="171">
        <v>0.74409391489672516</v>
      </c>
      <c r="O46" s="171">
        <v>0.72242127659876232</v>
      </c>
      <c r="P46" s="171">
        <v>0.70137988019297326</v>
      </c>
      <c r="Q46" s="171">
        <v>0.68095133999317792</v>
      </c>
      <c r="R46" s="171">
        <v>0.66111780581861923</v>
      </c>
      <c r="S46" s="171">
        <v>0.64186194739671765</v>
      </c>
      <c r="T46" s="171">
        <v>0.62316693922011435</v>
      </c>
      <c r="U46" s="171">
        <v>0.60501644584477121</v>
      </c>
      <c r="V46" s="171">
        <v>0.5873946076162827</v>
      </c>
      <c r="W46" s="171">
        <v>0.57028602681192497</v>
      </c>
      <c r="X46" s="171">
        <v>0.55367575418633497</v>
      </c>
      <c r="Y46" s="171">
        <v>0.5375492759090631</v>
      </c>
    </row>
    <row r="47" spans="1:26" s="176" customFormat="1" ht="12">
      <c r="A47" s="173"/>
      <c r="B47" s="174" t="s">
        <v>292</v>
      </c>
      <c r="C47" s="173"/>
      <c r="D47" s="173"/>
      <c r="E47" s="186">
        <f>SUM(F47:Y47)</f>
        <v>-312392180.86791509</v>
      </c>
      <c r="F47" s="175">
        <f>F45*F46</f>
        <v>-952866.75272147963</v>
      </c>
      <c r="G47" s="175">
        <f>G45*G46</f>
        <v>-26632522.895477798</v>
      </c>
      <c r="H47" s="175">
        <f>H45*H46</f>
        <v>-14036372.110347003</v>
      </c>
      <c r="I47" s="175">
        <f t="shared" ref="I47:Y47" si="22">I45*I46</f>
        <v>-14231222.761081846</v>
      </c>
      <c r="J47" s="175">
        <f t="shared" si="22"/>
        <v>-14429146.952731745</v>
      </c>
      <c r="K47" s="175">
        <f t="shared" si="22"/>
        <v>-14630098.115736909</v>
      </c>
      <c r="L47" s="175">
        <f t="shared" si="22"/>
        <v>-14834026.653501043</v>
      </c>
      <c r="M47" s="175">
        <f t="shared" si="22"/>
        <v>-15040879.94538933</v>
      </c>
      <c r="N47" s="175">
        <f t="shared" si="22"/>
        <v>-15250602.359548697</v>
      </c>
      <c r="O47" s="175">
        <f t="shared" si="22"/>
        <v>-15463135.275719408</v>
      </c>
      <c r="P47" s="175">
        <f t="shared" si="22"/>
        <v>-15678417.118150648</v>
      </c>
      <c r="Q47" s="175">
        <f t="shared" si="22"/>
        <v>-15896383.398673292</v>
      </c>
      <c r="R47" s="175">
        <f t="shared" si="22"/>
        <v>-16116966.769921428</v>
      </c>
      <c r="S47" s="175">
        <f t="shared" si="22"/>
        <v>-16340097.088631313</v>
      </c>
      <c r="T47" s="175">
        <f t="shared" si="22"/>
        <v>-16565701.488882201</v>
      </c>
      <c r="U47" s="175">
        <f t="shared" si="22"/>
        <v>-16793704.465079203</v>
      </c>
      <c r="V47" s="175">
        <f t="shared" si="22"/>
        <v>-17024027.964414541</v>
      </c>
      <c r="W47" s="175">
        <f t="shared" si="22"/>
        <v>-17256591.488481119</v>
      </c>
      <c r="X47" s="175">
        <f t="shared" si="22"/>
        <v>-17491312.203651156</v>
      </c>
      <c r="Y47" s="175">
        <f t="shared" si="22"/>
        <v>-17728105.059774972</v>
      </c>
    </row>
    <row r="48" spans="1:26" s="125" customFormat="1" ht="12">
      <c r="A48" s="123"/>
      <c r="B48" s="90" t="s">
        <v>295</v>
      </c>
      <c r="C48" s="123"/>
      <c r="D48" s="123"/>
      <c r="E48" s="141"/>
      <c r="F48" s="171">
        <v>0.87343872827321156</v>
      </c>
      <c r="G48" s="171">
        <v>0.81629787689085187</v>
      </c>
      <c r="H48" s="171">
        <v>0.7628952120475252</v>
      </c>
      <c r="I48" s="171">
        <v>0.71298617948366838</v>
      </c>
      <c r="J48" s="171">
        <v>0.66634222381651254</v>
      </c>
      <c r="K48" s="171">
        <v>0.62274974188459109</v>
      </c>
      <c r="L48" s="171">
        <v>0.5820091045650384</v>
      </c>
      <c r="M48" s="171">
        <v>0.54393374258414806</v>
      </c>
      <c r="N48" s="171">
        <v>0.5083492921347178</v>
      </c>
      <c r="O48" s="171">
        <v>0.47509279638758667</v>
      </c>
      <c r="P48" s="171">
        <v>0.44401195924073528</v>
      </c>
      <c r="Q48" s="171">
        <v>0.41496444788853759</v>
      </c>
      <c r="R48" s="171">
        <v>0.3878172410173249</v>
      </c>
      <c r="S48" s="171">
        <v>0.36244601964235967</v>
      </c>
      <c r="T48" s="171">
        <v>0.33873459779659787</v>
      </c>
      <c r="U48" s="171">
        <v>0.31657439046411018</v>
      </c>
      <c r="V48" s="171">
        <v>0.29586391632159825</v>
      </c>
      <c r="W48" s="171">
        <v>0.27650833301083949</v>
      </c>
      <c r="X48" s="171">
        <v>0.2584190028138687</v>
      </c>
      <c r="Y48" s="171">
        <v>0.24151308674193336</v>
      </c>
    </row>
    <row r="49" spans="1:25" s="176" customFormat="1" ht="12">
      <c r="A49" s="173"/>
      <c r="B49" s="174" t="s">
        <v>293</v>
      </c>
      <c r="C49" s="173"/>
      <c r="D49" s="173"/>
      <c r="E49" s="186">
        <f>SUM(F49:Y49)</f>
        <v>-202495272.93464875</v>
      </c>
      <c r="F49" s="175">
        <f>F45*F48</f>
        <v>-882956.0118457661</v>
      </c>
      <c r="G49" s="175">
        <f>G45*G48</f>
        <v>-23755963.542509742</v>
      </c>
      <c r="H49" s="175">
        <f>H45*H48</f>
        <v>-12052264.692683831</v>
      </c>
      <c r="I49" s="175">
        <f t="shared" ref="I49:Y49" si="23">I45*I48</f>
        <v>-11762765.844134895</v>
      </c>
      <c r="J49" s="175">
        <f t="shared" si="23"/>
        <v>-11480514.160745991</v>
      </c>
      <c r="K49" s="175">
        <f t="shared" si="23"/>
        <v>-11205245.286928151</v>
      </c>
      <c r="L49" s="175">
        <f t="shared" si="23"/>
        <v>-10936708.356599526</v>
      </c>
      <c r="M49" s="175">
        <f t="shared" si="23"/>
        <v>-10674665.329183305</v>
      </c>
      <c r="N49" s="175">
        <f t="shared" si="23"/>
        <v>-10418890.356307574</v>
      </c>
      <c r="O49" s="175">
        <f t="shared" si="23"/>
        <v>-10169169.177365361</v>
      </c>
      <c r="P49" s="175">
        <f t="shared" si="23"/>
        <v>-9925298.5422225595</v>
      </c>
      <c r="Q49" s="175">
        <f t="shared" si="23"/>
        <v>-9687085.6594849546</v>
      </c>
      <c r="R49" s="175">
        <f t="shared" si="23"/>
        <v>-9454347.6688535474</v>
      </c>
      <c r="S49" s="175">
        <f t="shared" si="23"/>
        <v>-9226911.1362098716</v>
      </c>
      <c r="T49" s="175">
        <f t="shared" si="23"/>
        <v>-9004611.5701798666</v>
      </c>
      <c r="U49" s="175">
        <f t="shared" si="23"/>
        <v>-8787292.9590262659</v>
      </c>
      <c r="V49" s="175">
        <f t="shared" si="23"/>
        <v>-8574807.3268156294</v>
      </c>
      <c r="W49" s="175">
        <f t="shared" si="23"/>
        <v>-8367014.3078967324</v>
      </c>
      <c r="X49" s="175">
        <f t="shared" si="23"/>
        <v>-8163780.7388119549</v>
      </c>
      <c r="Y49" s="175">
        <f t="shared" si="23"/>
        <v>-7964980.2668432044</v>
      </c>
    </row>
    <row r="50" spans="1:25" s="125" customFormat="1" ht="12">
      <c r="A50" s="123"/>
      <c r="B50" s="122"/>
      <c r="C50" s="123"/>
      <c r="D50" s="123"/>
      <c r="E50" s="141"/>
      <c r="F50" s="172"/>
      <c r="G50" s="124"/>
      <c r="H50" s="124"/>
      <c r="I50" s="124"/>
      <c r="J50" s="124"/>
      <c r="K50" s="124"/>
      <c r="L50" s="124"/>
      <c r="M50" s="124"/>
      <c r="N50" s="124"/>
      <c r="O50" s="124"/>
      <c r="P50" s="124"/>
      <c r="Q50" s="124"/>
      <c r="R50" s="124"/>
      <c r="S50" s="124"/>
      <c r="T50" s="124"/>
      <c r="U50" s="124"/>
      <c r="V50" s="124"/>
      <c r="W50" s="124"/>
      <c r="X50" s="124"/>
      <c r="Y50" s="124"/>
    </row>
    <row r="51" spans="1:25">
      <c r="A51" s="48" t="s">
        <v>112</v>
      </c>
      <c r="B51" s="66"/>
      <c r="C51" s="44"/>
      <c r="D51" s="27"/>
    </row>
    <row r="52" spans="1:25" s="64" customFormat="1" ht="12">
      <c r="A52" s="51"/>
      <c r="B52" s="79" t="s">
        <v>121</v>
      </c>
      <c r="C52" s="51"/>
      <c r="D52" s="51"/>
      <c r="E52" s="140"/>
      <c r="F52" s="51"/>
      <c r="G52" s="68"/>
    </row>
    <row r="53" spans="1:25" s="64" customFormat="1" ht="11.4">
      <c r="A53" s="51"/>
      <c r="B53" s="84" t="s">
        <v>218</v>
      </c>
      <c r="C53" s="51"/>
      <c r="D53" s="51"/>
      <c r="E53" s="140"/>
      <c r="F53" s="68">
        <f>('Bike Operating Assumptions'!D11*'Bike Operating Assumptions'!D36)+('Bike Operating Assumptions'!D45*'Bike Operating Assumptions'!D11)</f>
        <v>45.1</v>
      </c>
      <c r="G53" s="68">
        <f>('Bike Operating Assumptions'!E11*'Bike Operating Assumptions'!E36)+('Bike Operating Assumptions'!E45*'Bike Operating Assumptions'!E11)</f>
        <v>4598.3293750000003</v>
      </c>
      <c r="H53" s="70">
        <f>('Bike Operating Assumptions'!F11*'Bike Operating Assumptions'!F36)+('Bike Operating Assumptions'!F45*'Bike Operating Assumptions'!F11)</f>
        <v>4976.5473121093746</v>
      </c>
      <c r="I53" s="70">
        <f>('Bike Operating Assumptions'!G11*'Bike Operating Assumptions'!G36)+('Bike Operating Assumptions'!G45*'Bike Operating Assumptions'!G11)</f>
        <v>5385.001380113039</v>
      </c>
      <c r="J53" s="70">
        <f>('Bike Operating Assumptions'!H11*'Bike Operating Assumptions'!H36)+('Bike Operating Assumptions'!H45*'Bike Operating Assumptions'!H11)</f>
        <v>5826.067807784405</v>
      </c>
      <c r="K53" s="70">
        <f>('Bike Operating Assumptions'!I11*'Bike Operating Assumptions'!I36)+('Bike Operating Assumptions'!I45*'Bike Operating Assumptions'!I11)</f>
        <v>6302.3075917328733</v>
      </c>
      <c r="L53" s="70">
        <f>('Bike Operating Assumptions'!J11*'Bike Operating Assumptions'!J36)+('Bike Operating Assumptions'!J45*'Bike Operating Assumptions'!J11)</f>
        <v>6816.4807662086641</v>
      </c>
      <c r="M53" s="70">
        <f>('Bike Operating Assumptions'!K11*'Bike Operating Assumptions'!K36)+('Bike Operating Assumptions'!K45*'Bike Operating Assumptions'!K11)</f>
        <v>7371.5617701564179</v>
      </c>
      <c r="N53" s="70">
        <f>('Bike Operating Assumptions'!L11*'Bike Operating Assumptions'!L36)+('Bike Operating Assumptions'!L45*'Bike Operating Assumptions'!L11)</f>
        <v>7970.7559956473588</v>
      </c>
      <c r="O53" s="70">
        <f>('Bike Operating Assumptions'!M11*'Bike Operating Assumptions'!M36)+('Bike Operating Assumptions'!M45*'Bike Operating Assumptions'!M11)</f>
        <v>8617.5176082581311</v>
      </c>
      <c r="P53" s="70">
        <f>('Bike Operating Assumptions'!N11*'Bike Operating Assumptions'!N36)+('Bike Operating Assumptions'!N45*'Bike Operating Assumptions'!N11)</f>
        <v>9315.5687368950748</v>
      </c>
      <c r="Q53" s="70">
        <f>('Bike Operating Assumptions'!O11*'Bike Operating Assumptions'!O36)+('Bike Operating Assumptions'!O45*'Bike Operating Assumptions'!O11)</f>
        <v>10068.920138022828</v>
      </c>
      <c r="R53" s="70">
        <f>('Bike Operating Assumptions'!P11*'Bike Operating Assumptions'!P36)+('Bike Operating Assumptions'!P45*'Bike Operating Assumptions'!P11)</f>
        <v>10881.893447286631</v>
      </c>
      <c r="S53" s="70">
        <f>('Bike Operating Assumptions'!Q11*'Bike Operating Assumptions'!Q36)+('Bike Operating Assumptions'!Q45*'Bike Operating Assumptions'!Q11)</f>
        <v>11759.145140161745</v>
      </c>
      <c r="T53" s="70">
        <f>('Bike Operating Assumptions'!R11*'Bike Operating Assumptions'!R36)+('Bike Operating Assumptions'!R45*'Bike Operating Assumptions'!R11)</f>
        <v>12705.692332568007</v>
      </c>
      <c r="U53" s="70">
        <f>('Bike Operating Assumptions'!S11*'Bike Operating Assumptions'!S36)+('Bike Operating Assumptions'!S45*'Bike Operating Assumptions'!S11)</f>
        <v>13726.940562403364</v>
      </c>
      <c r="V53" s="70">
        <f>('Bike Operating Assumptions'!T11*'Bike Operating Assumptions'!T36)+('Bike Operating Assumptions'!T45*'Bike Operating Assumptions'!T11)</f>
        <v>14828.71370373094</v>
      </c>
      <c r="W53" s="70">
        <f>('Bike Operating Assumptions'!U11*'Bike Operating Assumptions'!U36)+('Bike Operating Assumptions'!U45*'Bike Operating Assumptions'!U11)</f>
        <v>16017.286176959115</v>
      </c>
      <c r="X53" s="70">
        <f>('Bike Operating Assumptions'!V11*'Bike Operating Assumptions'!V36)+('Bike Operating Assumptions'!V45*'Bike Operating Assumptions'!V11)</f>
        <v>17299.417630845193</v>
      </c>
      <c r="Y53" s="70">
        <f>('Bike Operating Assumptions'!W11*'Bike Operating Assumptions'!W36)+('Bike Operating Assumptions'!W45*'Bike Operating Assumptions'!W11)</f>
        <v>18682.390285599045</v>
      </c>
    </row>
    <row r="54" spans="1:25" s="64" customFormat="1" ht="11.4">
      <c r="A54" s="51"/>
      <c r="B54" s="84" t="s">
        <v>124</v>
      </c>
      <c r="C54" s="51"/>
      <c r="D54" s="51"/>
      <c r="E54" s="140"/>
      <c r="F54" s="70">
        <f>'Bike Operating Assumptions'!D47</f>
        <v>67.650000000000006</v>
      </c>
      <c r="G54" s="70">
        <f>'Bike Operating Assumptions'!E47</f>
        <v>6897.4940624999999</v>
      </c>
      <c r="H54" s="70">
        <f>'Bike Operating Assumptions'!F47</f>
        <v>7464.8209681640619</v>
      </c>
      <c r="I54" s="70">
        <f>'Bike Operating Assumptions'!G47</f>
        <v>8077.5020701695576</v>
      </c>
      <c r="J54" s="70">
        <f>'Bike Operating Assumptions'!H47</f>
        <v>8739.1017116766088</v>
      </c>
      <c r="K54" s="70">
        <f>'Bike Operating Assumptions'!I47</f>
        <v>9453.4613875993109</v>
      </c>
      <c r="L54" s="70">
        <f>'Bike Operating Assumptions'!J47</f>
        <v>10224.721149312996</v>
      </c>
      <c r="M54" s="70">
        <f>'Bike Operating Assumptions'!K47</f>
        <v>11057.342655234628</v>
      </c>
      <c r="N54" s="70">
        <f>'Bike Operating Assumptions'!L47</f>
        <v>11956.133993471038</v>
      </c>
      <c r="O54" s="70">
        <f>'Bike Operating Assumptions'!M47</f>
        <v>12926.276412387197</v>
      </c>
      <c r="P54" s="70">
        <f>'Bike Operating Assumptions'!N47</f>
        <v>13973.35310534261</v>
      </c>
      <c r="Q54" s="70">
        <f>'Bike Operating Assumptions'!O47</f>
        <v>15103.380207034241</v>
      </c>
      <c r="R54" s="70">
        <f>'Bike Operating Assumptions'!P47</f>
        <v>16322.840170929947</v>
      </c>
      <c r="S54" s="70">
        <f>'Bike Operating Assumptions'!Q47</f>
        <v>17638.717710242618</v>
      </c>
      <c r="T54" s="70">
        <f>'Bike Operating Assumptions'!R47</f>
        <v>19058.538498852009</v>
      </c>
      <c r="U54" s="70">
        <f>'Bike Operating Assumptions'!S47</f>
        <v>20590.410843605048</v>
      </c>
      <c r="V54" s="70">
        <f>'Bike Operating Assumptions'!T47</f>
        <v>22243.070555596409</v>
      </c>
      <c r="W54" s="70">
        <f>'Bike Operating Assumptions'!U47</f>
        <v>24025.929265438674</v>
      </c>
      <c r="X54" s="70">
        <f>'Bike Operating Assumptions'!V47</f>
        <v>25949.126446267794</v>
      </c>
      <c r="Y54" s="70">
        <f>'Bike Operating Assumptions'!W47</f>
        <v>28023.585428398568</v>
      </c>
    </row>
    <row r="55" spans="1:25" s="64" customFormat="1" ht="11.4">
      <c r="A55" s="51"/>
      <c r="B55" s="84" t="s">
        <v>234</v>
      </c>
      <c r="C55" s="51"/>
      <c r="D55" s="51"/>
      <c r="E55" s="140"/>
      <c r="F55" s="70">
        <f>'Bike Operating Assumptions'!D11*'Bike Operating Assumptions'!D37</f>
        <v>220</v>
      </c>
      <c r="G55" s="70">
        <f>'Bike Operating Assumptions'!E11*'Bike Operating Assumptions'!E37</f>
        <v>22430.875</v>
      </c>
      <c r="H55" s="70">
        <f>'Bike Operating Assumptions'!F11*'Bike Operating Assumptions'!F37</f>
        <v>24275.840546874999</v>
      </c>
      <c r="I55" s="70">
        <f>'Bike Operating Assumptions'!G11*'Bike Operating Assumptions'!G37</f>
        <v>26268.299415185553</v>
      </c>
      <c r="J55" s="70">
        <f>'Bike Operating Assumptions'!H11*'Bike Operating Assumptions'!H37</f>
        <v>28419.842964801974</v>
      </c>
      <c r="K55" s="70">
        <f>'Bike Operating Assumptions'!I11*'Bike Operating Assumptions'!I37</f>
        <v>30742.963862111581</v>
      </c>
      <c r="L55" s="70">
        <f>'Bike Operating Assumptions'!J11*'Bike Operating Assumptions'!J37</f>
        <v>33251.125688822751</v>
      </c>
      <c r="M55" s="70">
        <f>'Bike Operating Assumptions'!K11*'Bike Operating Assumptions'!K37</f>
        <v>35958.837903202038</v>
      </c>
      <c r="N55" s="70">
        <f>'Bike Operating Assumptions'!L11*'Bike Operating Assumptions'!L37</f>
        <v>38881.736564133455</v>
      </c>
      <c r="O55" s="70">
        <f>'Bike Operating Assumptions'!M11*'Bike Operating Assumptions'!M37</f>
        <v>42036.671259795759</v>
      </c>
      <c r="P55" s="70">
        <f>'Bike Operating Assumptions'!N11*'Bike Operating Assumptions'!N37</f>
        <v>45441.798716561338</v>
      </c>
      <c r="Q55" s="70">
        <f>'Bike Operating Assumptions'!O11*'Bike Operating Assumptions'!O37</f>
        <v>49116.683600111355</v>
      </c>
      <c r="R55" s="70">
        <f>'Bike Operating Assumptions'!P11*'Bike Operating Assumptions'!P37</f>
        <v>53082.407059934791</v>
      </c>
      <c r="S55" s="70">
        <f>'Bike Operating Assumptions'!Q11*'Bike Operating Assumptions'!Q37</f>
        <v>57361.683610545093</v>
      </c>
      <c r="T55" s="70">
        <f>'Bike Operating Assumptions'!R11*'Bike Operating Assumptions'!R37</f>
        <v>61978.986988136618</v>
      </c>
      <c r="U55" s="70">
        <f>'Bike Operating Assumptions'!S11*'Bike Operating Assumptions'!S37</f>
        <v>66960.685670260311</v>
      </c>
      <c r="V55" s="70">
        <f>'Bike Operating Assumptions'!T11*'Bike Operating Assumptions'!T37</f>
        <v>72335.188798687508</v>
      </c>
      <c r="W55" s="70">
        <f>'Bike Operating Assumptions'!U11*'Bike Operating Assumptions'!U37</f>
        <v>78133.103302239586</v>
      </c>
      <c r="X55" s="70">
        <f>'Bike Operating Assumptions'!V11*'Bike Operating Assumptions'!V37</f>
        <v>84387.403077293638</v>
      </c>
      <c r="Y55" s="70">
        <f>'Bike Operating Assumptions'!W11*'Bike Operating Assumptions'!W37</f>
        <v>91133.611149263626</v>
      </c>
    </row>
    <row r="56" spans="1:25" s="64" customFormat="1" ht="12">
      <c r="A56" s="51"/>
      <c r="B56" s="79"/>
      <c r="C56" s="51"/>
      <c r="D56" s="51"/>
      <c r="E56" s="140"/>
      <c r="F56" s="51"/>
      <c r="G56" s="68"/>
    </row>
    <row r="57" spans="1:25" s="64" customFormat="1" ht="11.4">
      <c r="A57" s="51"/>
      <c r="B57" s="84" t="s">
        <v>127</v>
      </c>
      <c r="C57" s="51"/>
      <c r="D57" s="51"/>
      <c r="E57" s="168">
        <f t="shared" ref="E57:E59" si="24">SUM(F57:Y57)*365</f>
        <v>56825905.198740751</v>
      </c>
      <c r="F57" s="70">
        <f>'Bike Operating Assumptions'!D11*'Bike Operating Assumptions'!D40</f>
        <v>36.344000000000001</v>
      </c>
      <c r="G57" s="70">
        <f>'Bike Operating Assumptions'!E11*'Bike Operating Assumptions'!E40</f>
        <v>3705.5805500000001</v>
      </c>
      <c r="H57" s="70">
        <f>'Bike Operating Assumptions'!F11*'Bike Operating Assumptions'!F40</f>
        <v>4010.3688583437502</v>
      </c>
      <c r="I57" s="70">
        <f>'Bike Operating Assumptions'!G11*'Bike Operating Assumptions'!G40</f>
        <v>4339.523063388654</v>
      </c>
      <c r="J57" s="70">
        <f>'Bike Operating Assumptions'!H11*'Bike Operating Assumptions'!H40</f>
        <v>4694.9580577852867</v>
      </c>
      <c r="K57" s="70">
        <f>'Bike Operating Assumptions'!I11*'Bike Operating Assumptions'!I40</f>
        <v>5078.7376300208334</v>
      </c>
      <c r="L57" s="70">
        <f>'Bike Operating Assumptions'!J11*'Bike Operating Assumptions'!J40</f>
        <v>5493.0859637935191</v>
      </c>
      <c r="M57" s="70">
        <f>'Bike Operating Assumptions'!K11*'Bike Operating Assumptions'!K40</f>
        <v>5940.4000216089771</v>
      </c>
      <c r="N57" s="70">
        <f>'Bike Operating Assumptions'!L11*'Bike Operating Assumptions'!L40</f>
        <v>6423.2628803948473</v>
      </c>
      <c r="O57" s="70">
        <f>'Bike Operating Assumptions'!M11*'Bike Operating Assumptions'!M40</f>
        <v>6944.4580921182596</v>
      </c>
      <c r="P57" s="70">
        <f>'Bike Operating Assumptions'!N11*'Bike Operating Assumptions'!N40</f>
        <v>7506.9851479759336</v>
      </c>
      <c r="Q57" s="70">
        <f>'Bike Operating Assumptions'!O11*'Bike Operating Assumptions'!O40</f>
        <v>8114.0761307383964</v>
      </c>
      <c r="R57" s="70">
        <f>'Bike Operating Assumptions'!P11*'Bike Operating Assumptions'!P40</f>
        <v>8769.2136463012284</v>
      </c>
      <c r="S57" s="70">
        <f>'Bike Operating Assumptions'!Q11*'Bike Operating Assumptions'!Q40</f>
        <v>9476.1501324620494</v>
      </c>
      <c r="T57" s="70">
        <f>'Bike Operating Assumptions'!R11*'Bike Operating Assumptions'!R40</f>
        <v>10238.92865044017</v>
      </c>
      <c r="U57" s="70">
        <f>'Bike Operating Assumptions'!S11*'Bike Operating Assumptions'!S40</f>
        <v>11061.905272727005</v>
      </c>
      <c r="V57" s="70">
        <f>'Bike Operating Assumptions'!T11*'Bike Operating Assumptions'!T40</f>
        <v>11949.773189543177</v>
      </c>
      <c r="W57" s="70">
        <f>'Bike Operating Assumptions'!U11*'Bike Operating Assumptions'!U40</f>
        <v>12907.58866552998</v>
      </c>
      <c r="X57" s="70">
        <f>'Bike Operating Assumptions'!V11*'Bike Operating Assumptions'!V40</f>
        <v>13940.79898836891</v>
      </c>
      <c r="Y57" s="70">
        <f>'Bike Operating Assumptions'!W11*'Bike Operating Assumptions'!W40</f>
        <v>15055.272561858352</v>
      </c>
    </row>
    <row r="58" spans="1:25" s="64" customFormat="1" ht="11.4">
      <c r="A58" s="51"/>
      <c r="B58" s="54" t="s">
        <v>125</v>
      </c>
      <c r="D58" s="51"/>
      <c r="E58" s="168">
        <f t="shared" si="24"/>
        <v>28412952.599370375</v>
      </c>
      <c r="F58" s="85">
        <f>F57*'Bike Operating Assumptions'!D41</f>
        <v>18.172000000000001</v>
      </c>
      <c r="G58" s="85">
        <f>G57*'Bike Operating Assumptions'!E41</f>
        <v>1852.7902750000001</v>
      </c>
      <c r="H58" s="85">
        <f>H57*'Bike Operating Assumptions'!F41</f>
        <v>2005.1844291718751</v>
      </c>
      <c r="I58" s="85">
        <f>I57*'Bike Operating Assumptions'!G41</f>
        <v>2169.761531694327</v>
      </c>
      <c r="J58" s="85">
        <f>J57*'Bike Operating Assumptions'!H41</f>
        <v>2347.4790288926433</v>
      </c>
      <c r="K58" s="85">
        <f>K57*'Bike Operating Assumptions'!I41</f>
        <v>2539.3688150104167</v>
      </c>
      <c r="L58" s="85">
        <f>L57*'Bike Operating Assumptions'!J41</f>
        <v>2746.5429818967596</v>
      </c>
      <c r="M58" s="85">
        <f>M57*'Bike Operating Assumptions'!K41</f>
        <v>2970.2000108044886</v>
      </c>
      <c r="N58" s="85">
        <f>N57*'Bike Operating Assumptions'!L41</f>
        <v>3211.6314401974237</v>
      </c>
      <c r="O58" s="85">
        <f>O57*'Bike Operating Assumptions'!M41</f>
        <v>3472.2290460591298</v>
      </c>
      <c r="P58" s="85">
        <f>P57*'Bike Operating Assumptions'!N41</f>
        <v>3753.4925739879668</v>
      </c>
      <c r="Q58" s="85">
        <f>Q57*'Bike Operating Assumptions'!O41</f>
        <v>4057.0380653691982</v>
      </c>
      <c r="R58" s="85">
        <f>R57*'Bike Operating Assumptions'!P41</f>
        <v>4384.6068231506142</v>
      </c>
      <c r="S58" s="85">
        <f>S57*'Bike Operating Assumptions'!Q41</f>
        <v>4738.0750662310247</v>
      </c>
      <c r="T58" s="85">
        <f>T57*'Bike Operating Assumptions'!R41</f>
        <v>5119.4643252200849</v>
      </c>
      <c r="U58" s="85">
        <f>U57*'Bike Operating Assumptions'!S41</f>
        <v>5530.9526363635023</v>
      </c>
      <c r="V58" s="85">
        <f>V57*'Bike Operating Assumptions'!T41</f>
        <v>5974.8865947715885</v>
      </c>
      <c r="W58" s="85">
        <f>W57*'Bike Operating Assumptions'!U41</f>
        <v>6453.79433276499</v>
      </c>
      <c r="X58" s="85">
        <f>X57*'Bike Operating Assumptions'!V41</f>
        <v>6970.3994941844549</v>
      </c>
      <c r="Y58" s="85">
        <f>Y57*'Bike Operating Assumptions'!W41</f>
        <v>7527.6362809291759</v>
      </c>
    </row>
    <row r="59" spans="1:25" s="64" customFormat="1" ht="11.4">
      <c r="B59" s="54" t="s">
        <v>124</v>
      </c>
      <c r="E59" s="168">
        <f t="shared" si="24"/>
        <v>184684191.89590746</v>
      </c>
      <c r="F59" s="86">
        <f>F58*'Bike Operating Assumptions'!D42</f>
        <v>118.11800000000001</v>
      </c>
      <c r="G59" s="86">
        <f>G58*'Bike Operating Assumptions'!E42</f>
        <v>12043.1367875</v>
      </c>
      <c r="H59" s="86">
        <f>H58*'Bike Operating Assumptions'!F42</f>
        <v>13033.698789617189</v>
      </c>
      <c r="I59" s="86">
        <f>I58*'Bike Operating Assumptions'!G42</f>
        <v>14103.449956013126</v>
      </c>
      <c r="J59" s="86">
        <f>J58*'Bike Operating Assumptions'!H42</f>
        <v>15258.613687802183</v>
      </c>
      <c r="K59" s="86">
        <f>K58*'Bike Operating Assumptions'!I42</f>
        <v>16505.89729756771</v>
      </c>
      <c r="L59" s="86">
        <f>L58*'Bike Operating Assumptions'!J42</f>
        <v>17852.529382328936</v>
      </c>
      <c r="M59" s="86">
        <f>M58*'Bike Operating Assumptions'!K42</f>
        <v>19306.300070229176</v>
      </c>
      <c r="N59" s="86">
        <f>N58*'Bike Operating Assumptions'!L42</f>
        <v>20875.604361283255</v>
      </c>
      <c r="O59" s="86">
        <f>O58*'Bike Operating Assumptions'!M42</f>
        <v>22569.488799384344</v>
      </c>
      <c r="P59" s="86">
        <f>P58*'Bike Operating Assumptions'!N42</f>
        <v>24397.701730921784</v>
      </c>
      <c r="Q59" s="86">
        <f>Q58*'Bike Operating Assumptions'!O42</f>
        <v>26370.74742489979</v>
      </c>
      <c r="R59" s="86">
        <f>R58*'Bike Operating Assumptions'!P42</f>
        <v>28499.944350478992</v>
      </c>
      <c r="S59" s="86">
        <f>S58*'Bike Operating Assumptions'!Q42</f>
        <v>30797.487930501662</v>
      </c>
      <c r="T59" s="86">
        <f>T58*'Bike Operating Assumptions'!R42</f>
        <v>33276.51811393055</v>
      </c>
      <c r="U59" s="86">
        <f>U58*'Bike Operating Assumptions'!S42</f>
        <v>35951.192136362763</v>
      </c>
      <c r="V59" s="86">
        <f>V58*'Bike Operating Assumptions'!T42</f>
        <v>38836.762866015328</v>
      </c>
      <c r="W59" s="86">
        <f>W58*'Bike Operating Assumptions'!U42</f>
        <v>41949.663162972436</v>
      </c>
      <c r="X59" s="86">
        <f>X58*'Bike Operating Assumptions'!V42</f>
        <v>45307.59671219896</v>
      </c>
      <c r="Y59" s="86">
        <f>Y58*'Bike Operating Assumptions'!W42</f>
        <v>48929.635826039645</v>
      </c>
    </row>
    <row r="60" spans="1:25" s="64" customFormat="1" ht="11.4">
      <c r="B60" s="84"/>
      <c r="E60" s="140"/>
      <c r="F60" s="51"/>
      <c r="G60" s="86"/>
    </row>
    <row r="61" spans="1:25" s="64" customFormat="1" ht="11.4">
      <c r="B61" s="84" t="s">
        <v>176</v>
      </c>
      <c r="E61" s="168">
        <f>SUM(F61:Y61)*365</f>
        <v>100460958.78231138</v>
      </c>
      <c r="F61" s="86">
        <f>F53+F58+Bikestations!D33+Bikestations!D35</f>
        <v>63.272000000000006</v>
      </c>
      <c r="G61" s="86">
        <f>G53+G58+Bikestations!E33+Bikestations!E35</f>
        <v>6629.6796500000009</v>
      </c>
      <c r="H61" s="86">
        <f>H53+H58+Bikestations!F33+Bikestations!F35</f>
        <v>7204.9317412812497</v>
      </c>
      <c r="I61" s="86">
        <f>I53+I58+Bikestations!G33+Bikestations!G35</f>
        <v>7777.9629118073653</v>
      </c>
      <c r="J61" s="86">
        <f>J53+J58+Bikestations!H33+Bikestations!H35</f>
        <v>8396.7468366770481</v>
      </c>
      <c r="K61" s="86">
        <f>K53+K58+Bikestations!I33+Bikestations!I35</f>
        <v>9064.8764067432912</v>
      </c>
      <c r="L61" s="86">
        <f>L53+L58+Bikestations!J33+Bikestations!J35</f>
        <v>9786.2237481054253</v>
      </c>
      <c r="M61" s="86">
        <f>M53+M58+Bikestations!K33+Bikestations!K35</f>
        <v>10564.961780960908</v>
      </c>
      <c r="N61" s="86">
        <f>N53+N58+Bikestations!L33+Bikestations!L35</f>
        <v>11405.587435844784</v>
      </c>
      <c r="O61" s="86">
        <f>O53+O58+Bikestations!M33+Bikestations!M35</f>
        <v>12312.946654317262</v>
      </c>
      <c r="P61" s="86">
        <f>P53+P58+Bikestations!N33+Bikestations!N35</f>
        <v>13292.261310883043</v>
      </c>
      <c r="Q61" s="86">
        <f>Q53+Q58+Bikestations!O33+Bikestations!O35</f>
        <v>14349.158203392028</v>
      </c>
      <c r="R61" s="86">
        <f>R53+R58+Bikestations!P33+Bikestations!P35</f>
        <v>15489.700270437246</v>
      </c>
      <c r="S61" s="86">
        <f>S53+S58+Bikestations!Q33+Bikestations!Q35</f>
        <v>16720.420206392766</v>
      </c>
      <c r="T61" s="86">
        <f>T53+T58+Bikestations!R33+Bikestations!R35</f>
        <v>18048.356657788088</v>
      </c>
      <c r="U61" s="86">
        <f>U53+U58+Bikestations!S33+Bikestations!S35</f>
        <v>19481.093198766863</v>
      </c>
      <c r="V61" s="86">
        <f>V53+V58+Bikestations!T33+Bikestations!T35</f>
        <v>21026.800298502527</v>
      </c>
      <c r="W61" s="86">
        <f>W53+W58+Bikestations!U33+Bikestations!U35</f>
        <v>22694.2805097241</v>
      </c>
      <c r="X61" s="86">
        <f>X53+X58+Bikestations!V33+Bikestations!V35</f>
        <v>24493.017125029644</v>
      </c>
      <c r="Y61" s="86">
        <f>Y53+Y58+Bikestations!W33+Bikestations!W35</f>
        <v>26433.226566528218</v>
      </c>
    </row>
    <row r="62" spans="1:25" s="64" customFormat="1" ht="12">
      <c r="B62" s="78" t="s">
        <v>406</v>
      </c>
      <c r="E62" s="168">
        <f>SUM(F62:Y62)*365</f>
        <v>297350996.37031901</v>
      </c>
      <c r="F62" s="86">
        <f>F54+F59+Bikestations!D34+Bikestations!D36</f>
        <v>185.76800000000003</v>
      </c>
      <c r="G62" s="86">
        <f>G54+G59+Bikestations!E34+Bikestations!E36</f>
        <v>19744.150849999998</v>
      </c>
      <c r="H62" s="86">
        <f>H54+H59+Bikestations!F34+Bikestations!F36</f>
        <v>21502.919757781248</v>
      </c>
      <c r="I62" s="86">
        <f>I54+I59+Bikestations!G34+Bikestations!G36</f>
        <v>23185.352026182682</v>
      </c>
      <c r="J62" s="86">
        <f>J54+J59+Bikestations!H34+Bikestations!H36</f>
        <v>25002.115399478789</v>
      </c>
      <c r="K62" s="86">
        <f>K54+K59+Bikestations!I34+Bikestations!I36</f>
        <v>26963.758685167017</v>
      </c>
      <c r="L62" s="86">
        <f>L54+L59+Bikestations!J34+Bikestations!J36</f>
        <v>29081.650531641932</v>
      </c>
      <c r="M62" s="86">
        <f>M54+M59+Bikestations!K34+Bikestations!K36</f>
        <v>31368.042725463802</v>
      </c>
      <c r="N62" s="86">
        <f>N54+N59+Bikestations!L34+Bikestations!L36</f>
        <v>33836.138354754294</v>
      </c>
      <c r="O62" s="86">
        <f>O54+O59+Bikestations!M34+Bikestations!M36</f>
        <v>36500.165211771542</v>
      </c>
      <c r="P62" s="86">
        <f>P54+P59+Bikestations!N34+Bikestations!N36</f>
        <v>39375.454836264398</v>
      </c>
      <c r="Q62" s="86">
        <f>Q54+Q59+Bikestations!O34+Bikestations!O36</f>
        <v>42478.527631934034</v>
      </c>
      <c r="R62" s="86">
        <f>R54+R59+Bikestations!P34+Bikestations!P36</f>
        <v>45827.184521408941</v>
      </c>
      <c r="S62" s="86">
        <f>S54+S59+Bikestations!Q34+Bikestations!Q36</f>
        <v>49440.605640744281</v>
      </c>
      <c r="T62" s="86">
        <f>T54+T59+Bikestations!R34+Bikestations!R36</f>
        <v>53339.45661278256</v>
      </c>
      <c r="U62" s="86">
        <f>U54+U59+Bikestations!S34+Bikestations!S36</f>
        <v>57546.002979967809</v>
      </c>
      <c r="V62" s="86">
        <f>V54+V59+Bikestations!T34+Bikestations!T36</f>
        <v>62084.233421611738</v>
      </c>
      <c r="W62" s="86">
        <f>W54+W59+Bikestations!U34+Bikestations!U36</f>
        <v>66979.992428411104</v>
      </c>
      <c r="X62" s="86">
        <f>X54+X59+Bikestations!V34+Bikestations!V36</f>
        <v>72261.12315846674</v>
      </c>
      <c r="Y62" s="86">
        <f>Y54+Y59+Bikestations!W34+Bikestations!W36</f>
        <v>77957.621254438214</v>
      </c>
    </row>
    <row r="63" spans="1:25" s="64" customFormat="1" ht="11.4">
      <c r="B63" s="84"/>
      <c r="E63" s="140"/>
      <c r="F63" s="51"/>
      <c r="G63" s="86"/>
    </row>
    <row r="64" spans="1:25" s="64" customFormat="1" ht="11.4">
      <c r="A64" s="51"/>
      <c r="B64" s="84" t="s">
        <v>160</v>
      </c>
      <c r="D64" s="51"/>
      <c r="E64" s="168">
        <f>SUM(F64:Y64)*365</f>
        <v>77162643.9544058</v>
      </c>
      <c r="F64" s="87">
        <f>(F62/'Auto Operating Assumptions'!D10)*'Auto Operating Assumptions'!D7</f>
        <v>40.039829974125254</v>
      </c>
      <c r="G64" s="87">
        <f>(G62/'Auto Operating Assumptions'!E10)*'Auto Operating Assumptions'!E7</f>
        <v>4482.0676179670027</v>
      </c>
      <c r="H64" s="87">
        <f>(H62/'Auto Operating Assumptions'!F10)*'Auto Operating Assumptions'!F7</f>
        <v>5030.5041681958865</v>
      </c>
      <c r="I64" s="87">
        <f>(I62/'Auto Operating Assumptions'!G10)*'Auto Operating Assumptions'!G7</f>
        <v>5595.4140740305083</v>
      </c>
      <c r="J64" s="87">
        <f>(J62/'Auto Operating Assumptions'!H10)*'Auto Operating Assumptions'!H7</f>
        <v>6213.795480852109</v>
      </c>
      <c r="K64" s="87">
        <f>(K62/'Auto Operating Assumptions'!I10)*'Auto Operating Assumptions'!I7</f>
        <v>6788.2527557708045</v>
      </c>
      <c r="L64" s="87">
        <f>(L62/'Auto Operating Assumptions'!J10)*'Auto Operating Assumptions'!J7</f>
        <v>7406.4189193961211</v>
      </c>
      <c r="M64" s="87">
        <f>(M62/'Auto Operating Assumptions'!K10)*'Auto Operating Assumptions'!K7</f>
        <v>8059.4218493156332</v>
      </c>
      <c r="N64" s="87">
        <f>(N62/'Auto Operating Assumptions'!L10)*'Auto Operating Assumptions'!L7</f>
        <v>8697.4246968329189</v>
      </c>
      <c r="O64" s="87">
        <f>(O62/'Auto Operating Assumptions'!M10)*'Auto Operating Assumptions'!M7</f>
        <v>9357.1108286137187</v>
      </c>
      <c r="P64" s="87">
        <f>(P62/'Auto Operating Assumptions'!N10)*'Auto Operating Assumptions'!N7</f>
        <v>10131.690078535568</v>
      </c>
      <c r="Q64" s="87">
        <f>(Q62/'Auto Operating Assumptions'!O10)*'Auto Operating Assumptions'!O7</f>
        <v>11026.573287268342</v>
      </c>
      <c r="R64" s="87">
        <f>(R62/'Auto Operating Assumptions'!P10)*'Auto Operating Assumptions'!P7</f>
        <v>11952.013004491791</v>
      </c>
      <c r="S64" s="87">
        <f>(S62/'Auto Operating Assumptions'!Q10)*'Auto Operating Assumptions'!Q7</f>
        <v>12899.056912526779</v>
      </c>
      <c r="T64" s="87">
        <f>(T62/'Auto Operating Assumptions'!R10)*'Auto Operating Assumptions'!R7</f>
        <v>13870.736274941954</v>
      </c>
      <c r="U64" s="87">
        <f>(U62/'Auto Operating Assumptions'!S10)*'Auto Operating Assumptions'!S7</f>
        <v>15096.498598817972</v>
      </c>
      <c r="V64" s="87">
        <f>(V62/'Auto Operating Assumptions'!T10)*'Auto Operating Assumptions'!T7</f>
        <v>16269.364392349051</v>
      </c>
      <c r="W64" s="87">
        <f>(W62/'Auto Operating Assumptions'!U10)*'Auto Operating Assumptions'!U7</f>
        <v>17774.472187761836</v>
      </c>
      <c r="X64" s="87">
        <f>(X62/'Auto Operating Assumptions'!V10)*'Auto Operating Assumptions'!V7</f>
        <v>19707.60232063464</v>
      </c>
      <c r="Y64" s="87">
        <f>(Y62/'Auto Operating Assumptions'!W10)*'Auto Operating Assumptions'!W7</f>
        <v>21006.046706396643</v>
      </c>
    </row>
    <row r="65" spans="1:25" s="64" customFormat="1" ht="12">
      <c r="A65" s="51"/>
      <c r="B65" s="58"/>
      <c r="D65" s="51"/>
      <c r="E65" s="140"/>
      <c r="F65" s="51"/>
      <c r="G65" s="87"/>
    </row>
    <row r="66" spans="1:25" s="64" customFormat="1" ht="11.4">
      <c r="A66" s="51"/>
      <c r="B66" s="65" t="s">
        <v>128</v>
      </c>
      <c r="D66" s="51"/>
      <c r="E66" s="140"/>
      <c r="F66" s="51"/>
      <c r="G66" s="87"/>
    </row>
    <row r="67" spans="1:25" s="64" customFormat="1" ht="11.4">
      <c r="A67" s="51"/>
      <c r="B67" s="54" t="s">
        <v>129</v>
      </c>
      <c r="D67" s="51"/>
      <c r="E67" s="168">
        <f t="shared" ref="E67:E73" si="25">SUM(F67:Y67)*365</f>
        <v>53317283.933443204</v>
      </c>
      <c r="F67" s="87">
        <f>'Bike Operating Assumptions'!D11*'Bike Operating Assumptions'!D36</f>
        <v>34.1</v>
      </c>
      <c r="G67" s="87">
        <f>'Bike Operating Assumptions'!E11*'Bike Operating Assumptions'!E36</f>
        <v>3476.785625</v>
      </c>
      <c r="H67" s="87">
        <f>'Bike Operating Assumptions'!F11*'Bike Operating Assumptions'!F36</f>
        <v>3762.7552847656248</v>
      </c>
      <c r="I67" s="87">
        <f>'Bike Operating Assumptions'!G11*'Bike Operating Assumptions'!G36</f>
        <v>4071.5864093537607</v>
      </c>
      <c r="J67" s="87">
        <f>'Bike Operating Assumptions'!H11*'Bike Operating Assumptions'!H36</f>
        <v>4405.0756595443063</v>
      </c>
      <c r="K67" s="87">
        <f>'Bike Operating Assumptions'!I11*'Bike Operating Assumptions'!I36</f>
        <v>4765.1593986272946</v>
      </c>
      <c r="L67" s="87">
        <f>'Bike Operating Assumptions'!J11*'Bike Operating Assumptions'!J36</f>
        <v>5153.9244817675262</v>
      </c>
      <c r="M67" s="87">
        <f>'Bike Operating Assumptions'!K11*'Bike Operating Assumptions'!K36</f>
        <v>5573.619874996316</v>
      </c>
      <c r="N67" s="87">
        <f>'Bike Operating Assumptions'!L11*'Bike Operating Assumptions'!L36</f>
        <v>6026.6691674406857</v>
      </c>
      <c r="O67" s="87">
        <f>'Bike Operating Assumptions'!M11*'Bike Operating Assumptions'!M36</f>
        <v>6515.6840452683427</v>
      </c>
      <c r="P67" s="87">
        <f>'Bike Operating Assumptions'!N11*'Bike Operating Assumptions'!N36</f>
        <v>7043.4788010670072</v>
      </c>
      <c r="Q67" s="87">
        <f>'Bike Operating Assumptions'!O11*'Bike Operating Assumptions'!O36</f>
        <v>7613.0859580172601</v>
      </c>
      <c r="R67" s="87">
        <f>'Bike Operating Assumptions'!P11*'Bike Operating Assumptions'!P36</f>
        <v>8227.7730942898925</v>
      </c>
      <c r="S67" s="87">
        <f>'Bike Operating Assumptions'!Q11*'Bike Operating Assumptions'!Q36</f>
        <v>8891.0609596344893</v>
      </c>
      <c r="T67" s="87">
        <f>'Bike Operating Assumptions'!R11*'Bike Operating Assumptions'!R36</f>
        <v>9606.7429831611753</v>
      </c>
      <c r="U67" s="87">
        <f>'Bike Operating Assumptions'!S11*'Bike Operating Assumptions'!S36</f>
        <v>10378.906278890348</v>
      </c>
      <c r="V67" s="87">
        <f>'Bike Operating Assumptions'!T11*'Bike Operating Assumptions'!T36</f>
        <v>11211.954263796564</v>
      </c>
      <c r="W67" s="87">
        <f>'Bike Operating Assumptions'!U11*'Bike Operating Assumptions'!U36</f>
        <v>12110.631011847136</v>
      </c>
      <c r="X67" s="87">
        <f>'Bike Operating Assumptions'!V11*'Bike Operating Assumptions'!V36</f>
        <v>13080.047476980513</v>
      </c>
      <c r="Y67" s="87">
        <f>'Bike Operating Assumptions'!W11*'Bike Operating Assumptions'!W36</f>
        <v>14125.709728135862</v>
      </c>
    </row>
    <row r="68" spans="1:25" s="64" customFormat="1" ht="11.4">
      <c r="A68" s="51"/>
      <c r="B68" s="54" t="s">
        <v>221</v>
      </c>
      <c r="D68" s="51"/>
      <c r="E68" s="168">
        <f t="shared" si="25"/>
        <v>17199123.849497806</v>
      </c>
      <c r="F68" s="87">
        <f>'Bike Operating Assumptions'!D11*'Bike Operating Assumptions'!D45</f>
        <v>11</v>
      </c>
      <c r="G68" s="87">
        <f>'Bike Operating Assumptions'!E11*'Bike Operating Assumptions'!E45</f>
        <v>1121.54375</v>
      </c>
      <c r="H68" s="87">
        <f>'Bike Operating Assumptions'!F11*'Bike Operating Assumptions'!F45</f>
        <v>1213.7920273437501</v>
      </c>
      <c r="I68" s="87">
        <f>'Bike Operating Assumptions'!G11*'Bike Operating Assumptions'!G45</f>
        <v>1313.4149707592778</v>
      </c>
      <c r="J68" s="87">
        <f>'Bike Operating Assumptions'!H11*'Bike Operating Assumptions'!H45</f>
        <v>1420.9921482400987</v>
      </c>
      <c r="K68" s="87">
        <f>'Bike Operating Assumptions'!I11*'Bike Operating Assumptions'!I45</f>
        <v>1537.1481931055791</v>
      </c>
      <c r="L68" s="87">
        <f>'Bike Operating Assumptions'!J11*'Bike Operating Assumptions'!J45</f>
        <v>1662.5562844411377</v>
      </c>
      <c r="M68" s="87">
        <f>'Bike Operating Assumptions'!K11*'Bike Operating Assumptions'!K45</f>
        <v>1797.9418951601019</v>
      </c>
      <c r="N68" s="87">
        <f>'Bike Operating Assumptions'!L11*'Bike Operating Assumptions'!L45</f>
        <v>1944.0868282066729</v>
      </c>
      <c r="O68" s="87">
        <f>'Bike Operating Assumptions'!M11*'Bike Operating Assumptions'!M45</f>
        <v>2101.8335629897879</v>
      </c>
      <c r="P68" s="87">
        <f>'Bike Operating Assumptions'!N11*'Bike Operating Assumptions'!N45</f>
        <v>2272.0899358280672</v>
      </c>
      <c r="Q68" s="87">
        <f>'Bike Operating Assumptions'!O11*'Bike Operating Assumptions'!O45</f>
        <v>2455.8341800055678</v>
      </c>
      <c r="R68" s="87">
        <f>'Bike Operating Assumptions'!P11*'Bike Operating Assumptions'!P45</f>
        <v>2654.1203529967397</v>
      </c>
      <c r="S68" s="87">
        <f>'Bike Operating Assumptions'!Q11*'Bike Operating Assumptions'!Q45</f>
        <v>2868.0841805272548</v>
      </c>
      <c r="T68" s="87">
        <f>'Bike Operating Assumptions'!R11*'Bike Operating Assumptions'!R45</f>
        <v>3098.9493494068311</v>
      </c>
      <c r="U68" s="87">
        <f>'Bike Operating Assumptions'!S11*'Bike Operating Assumptions'!S45</f>
        <v>3348.0342835130159</v>
      </c>
      <c r="V68" s="87">
        <f>'Bike Operating Assumptions'!T11*'Bike Operating Assumptions'!T45</f>
        <v>3616.7594399343757</v>
      </c>
      <c r="W68" s="87">
        <f>'Bike Operating Assumptions'!U11*'Bike Operating Assumptions'!U45</f>
        <v>3906.6551651119794</v>
      </c>
      <c r="X68" s="87">
        <f>'Bike Operating Assumptions'!V11*'Bike Operating Assumptions'!V45</f>
        <v>4219.3701538646819</v>
      </c>
      <c r="Y68" s="87">
        <f>'Bike Operating Assumptions'!W11*'Bike Operating Assumptions'!W45</f>
        <v>4556.6805574631817</v>
      </c>
    </row>
    <row r="69" spans="1:25" s="64" customFormat="1" ht="11.4">
      <c r="A69" s="51"/>
      <c r="B69" s="54" t="s">
        <v>130</v>
      </c>
      <c r="D69" s="51"/>
      <c r="E69" s="168">
        <f t="shared" si="25"/>
        <v>343982476.9899562</v>
      </c>
      <c r="F69" s="87">
        <f>'Bike Operating Assumptions'!D11*'Bike Operating Assumptions'!D37</f>
        <v>220</v>
      </c>
      <c r="G69" s="87">
        <f>'Bike Operating Assumptions'!E11*'Bike Operating Assumptions'!E37</f>
        <v>22430.875</v>
      </c>
      <c r="H69" s="87">
        <f>'Bike Operating Assumptions'!F11*'Bike Operating Assumptions'!F37</f>
        <v>24275.840546874999</v>
      </c>
      <c r="I69" s="87">
        <f>'Bike Operating Assumptions'!G11*'Bike Operating Assumptions'!G37</f>
        <v>26268.299415185553</v>
      </c>
      <c r="J69" s="87">
        <f>'Bike Operating Assumptions'!H11*'Bike Operating Assumptions'!H37</f>
        <v>28419.842964801974</v>
      </c>
      <c r="K69" s="87">
        <f>'Bike Operating Assumptions'!I11*'Bike Operating Assumptions'!I37</f>
        <v>30742.963862111581</v>
      </c>
      <c r="L69" s="87">
        <f>'Bike Operating Assumptions'!J11*'Bike Operating Assumptions'!J37</f>
        <v>33251.125688822751</v>
      </c>
      <c r="M69" s="87">
        <f>'Bike Operating Assumptions'!K11*'Bike Operating Assumptions'!K37</f>
        <v>35958.837903202038</v>
      </c>
      <c r="N69" s="87">
        <f>'Bike Operating Assumptions'!L11*'Bike Operating Assumptions'!L37</f>
        <v>38881.736564133455</v>
      </c>
      <c r="O69" s="87">
        <f>'Bike Operating Assumptions'!M11*'Bike Operating Assumptions'!M37</f>
        <v>42036.671259795759</v>
      </c>
      <c r="P69" s="87">
        <f>'Bike Operating Assumptions'!N11*'Bike Operating Assumptions'!N37</f>
        <v>45441.798716561338</v>
      </c>
      <c r="Q69" s="87">
        <f>'Bike Operating Assumptions'!O11*'Bike Operating Assumptions'!O37</f>
        <v>49116.683600111355</v>
      </c>
      <c r="R69" s="87">
        <f>'Bike Operating Assumptions'!P11*'Bike Operating Assumptions'!P37</f>
        <v>53082.407059934791</v>
      </c>
      <c r="S69" s="87">
        <f>'Bike Operating Assumptions'!Q11*'Bike Operating Assumptions'!Q37</f>
        <v>57361.683610545093</v>
      </c>
      <c r="T69" s="87">
        <f>'Bike Operating Assumptions'!R11*'Bike Operating Assumptions'!R37</f>
        <v>61978.986988136618</v>
      </c>
      <c r="U69" s="87">
        <f>'Bike Operating Assumptions'!S11*'Bike Operating Assumptions'!S37</f>
        <v>66960.685670260311</v>
      </c>
      <c r="V69" s="87">
        <f>'Bike Operating Assumptions'!T11*'Bike Operating Assumptions'!T37</f>
        <v>72335.188798687508</v>
      </c>
      <c r="W69" s="87">
        <f>'Bike Operating Assumptions'!U11*'Bike Operating Assumptions'!U37</f>
        <v>78133.103302239586</v>
      </c>
      <c r="X69" s="87">
        <f>'Bike Operating Assumptions'!V11*'Bike Operating Assumptions'!V37</f>
        <v>84387.403077293638</v>
      </c>
      <c r="Y69" s="87">
        <f>'Bike Operating Assumptions'!W11*'Bike Operating Assumptions'!W37</f>
        <v>91133.611149263626</v>
      </c>
    </row>
    <row r="70" spans="1:25" s="64" customFormat="1" ht="11.4">
      <c r="A70" s="51"/>
      <c r="B70" s="54" t="s">
        <v>150</v>
      </c>
      <c r="D70" s="51"/>
      <c r="E70" s="168">
        <f t="shared" si="25"/>
        <v>178870888.03477719</v>
      </c>
      <c r="F70" s="87">
        <f>'Bike Operating Assumptions'!D11*'Bike Operating Assumptions'!D44</f>
        <v>114.4</v>
      </c>
      <c r="G70" s="87">
        <f>'Bike Operating Assumptions'!E11*'Bike Operating Assumptions'!E44</f>
        <v>11664.055</v>
      </c>
      <c r="H70" s="87">
        <f>'Bike Operating Assumptions'!F11*'Bike Operating Assumptions'!F44</f>
        <v>12623.437084375</v>
      </c>
      <c r="I70" s="87">
        <f>'Bike Operating Assumptions'!G11*'Bike Operating Assumptions'!G44</f>
        <v>13659.515695896487</v>
      </c>
      <c r="J70" s="87">
        <f>'Bike Operating Assumptions'!H11*'Bike Operating Assumptions'!H44</f>
        <v>14778.318341697026</v>
      </c>
      <c r="K70" s="87">
        <f>'Bike Operating Assumptions'!I11*'Bike Operating Assumptions'!I44</f>
        <v>15986.341208298023</v>
      </c>
      <c r="L70" s="87">
        <f>'Bike Operating Assumptions'!J11*'Bike Operating Assumptions'!J44</f>
        <v>17290.585358187833</v>
      </c>
      <c r="M70" s="87">
        <f>'Bike Operating Assumptions'!K11*'Bike Operating Assumptions'!K44</f>
        <v>18698.59570966506</v>
      </c>
      <c r="N70" s="87">
        <f>'Bike Operating Assumptions'!L11*'Bike Operating Assumptions'!L44</f>
        <v>20218.503013349396</v>
      </c>
      <c r="O70" s="87">
        <f>'Bike Operating Assumptions'!M11*'Bike Operating Assumptions'!M44</f>
        <v>21859.069055093794</v>
      </c>
      <c r="P70" s="87">
        <f>'Bike Operating Assumptions'!N11*'Bike Operating Assumptions'!N44</f>
        <v>23629.735332611897</v>
      </c>
      <c r="Q70" s="87">
        <f>'Bike Operating Assumptions'!O11*'Bike Operating Assumptions'!O44</f>
        <v>25540.675472057905</v>
      </c>
      <c r="R70" s="87">
        <f>'Bike Operating Assumptions'!P11*'Bike Operating Assumptions'!P44</f>
        <v>27602.851671166092</v>
      </c>
      <c r="S70" s="87">
        <f>'Bike Operating Assumptions'!Q11*'Bike Operating Assumptions'!Q44</f>
        <v>29828.07547748345</v>
      </c>
      <c r="T70" s="87">
        <f>'Bike Operating Assumptions'!R11*'Bike Operating Assumptions'!R44</f>
        <v>32229.073233831041</v>
      </c>
      <c r="U70" s="87">
        <f>'Bike Operating Assumptions'!S11*'Bike Operating Assumptions'!S44</f>
        <v>34819.556548535365</v>
      </c>
      <c r="V70" s="87">
        <f>'Bike Operating Assumptions'!T11*'Bike Operating Assumptions'!T44</f>
        <v>37614.298175317505</v>
      </c>
      <c r="W70" s="87">
        <f>'Bike Operating Assumptions'!U11*'Bike Operating Assumptions'!U44</f>
        <v>40629.213717164588</v>
      </c>
      <c r="X70" s="87">
        <f>'Bike Operating Assumptions'!V11*'Bike Operating Assumptions'!V44</f>
        <v>43881.449600192696</v>
      </c>
      <c r="Y70" s="87">
        <f>'Bike Operating Assumptions'!W11*'Bike Operating Assumptions'!W44</f>
        <v>47389.477797617088</v>
      </c>
    </row>
    <row r="71" spans="1:25" s="64" customFormat="1" ht="11.4">
      <c r="A71" s="51"/>
      <c r="B71" s="54" t="s">
        <v>222</v>
      </c>
      <c r="D71" s="51"/>
      <c r="E71" s="168">
        <f t="shared" si="25"/>
        <v>34398247.698995613</v>
      </c>
      <c r="F71" s="87">
        <f>'Bike Operating Assumptions'!D11*'Bike Operating Assumptions'!D46</f>
        <v>22</v>
      </c>
      <c r="G71" s="87">
        <f>'Bike Operating Assumptions'!E11*'Bike Operating Assumptions'!E46</f>
        <v>2243.0875000000001</v>
      </c>
      <c r="H71" s="87">
        <f>'Bike Operating Assumptions'!F11*'Bike Operating Assumptions'!F46</f>
        <v>2427.5840546875002</v>
      </c>
      <c r="I71" s="87">
        <f>'Bike Operating Assumptions'!G11*'Bike Operating Assumptions'!G46</f>
        <v>2626.8299415185556</v>
      </c>
      <c r="J71" s="87">
        <f>'Bike Operating Assumptions'!H11*'Bike Operating Assumptions'!H46</f>
        <v>2841.9842964801974</v>
      </c>
      <c r="K71" s="87">
        <f>'Bike Operating Assumptions'!I11*'Bike Operating Assumptions'!I46</f>
        <v>3074.2963862111583</v>
      </c>
      <c r="L71" s="87">
        <f>'Bike Operating Assumptions'!J11*'Bike Operating Assumptions'!J46</f>
        <v>3325.1125688822754</v>
      </c>
      <c r="M71" s="87">
        <f>'Bike Operating Assumptions'!K11*'Bike Operating Assumptions'!K46</f>
        <v>3595.8837903202038</v>
      </c>
      <c r="N71" s="87">
        <f>'Bike Operating Assumptions'!L11*'Bike Operating Assumptions'!L46</f>
        <v>3888.1736564133457</v>
      </c>
      <c r="O71" s="87">
        <f>'Bike Operating Assumptions'!M11*'Bike Operating Assumptions'!M46</f>
        <v>4203.6671259795758</v>
      </c>
      <c r="P71" s="87">
        <f>'Bike Operating Assumptions'!N11*'Bike Operating Assumptions'!N46</f>
        <v>4544.1798716561343</v>
      </c>
      <c r="Q71" s="87">
        <f>'Bike Operating Assumptions'!O11*'Bike Operating Assumptions'!O46</f>
        <v>4911.6683600111355</v>
      </c>
      <c r="R71" s="87">
        <f>'Bike Operating Assumptions'!P11*'Bike Operating Assumptions'!P46</f>
        <v>5308.2407059934794</v>
      </c>
      <c r="S71" s="87">
        <f>'Bike Operating Assumptions'!Q11*'Bike Operating Assumptions'!Q46</f>
        <v>5736.1683610545097</v>
      </c>
      <c r="T71" s="87">
        <f>'Bike Operating Assumptions'!R11*'Bike Operating Assumptions'!R46</f>
        <v>6197.8986988136621</v>
      </c>
      <c r="U71" s="87">
        <f>'Bike Operating Assumptions'!S11*'Bike Operating Assumptions'!S46</f>
        <v>6696.0685670260318</v>
      </c>
      <c r="V71" s="87">
        <f>'Bike Operating Assumptions'!T11*'Bike Operating Assumptions'!T46</f>
        <v>7233.5188798687514</v>
      </c>
      <c r="W71" s="87">
        <f>'Bike Operating Assumptions'!U11*'Bike Operating Assumptions'!U46</f>
        <v>7813.3103302239588</v>
      </c>
      <c r="X71" s="87">
        <f>'Bike Operating Assumptions'!V11*'Bike Operating Assumptions'!V46</f>
        <v>8438.7403077293638</v>
      </c>
      <c r="Y71" s="87">
        <f>'Bike Operating Assumptions'!W11*'Bike Operating Assumptions'!W46</f>
        <v>9113.3611149263634</v>
      </c>
    </row>
    <row r="72" spans="1:25" s="64" customFormat="1" ht="11.4">
      <c r="A72" s="51"/>
      <c r="B72" s="54" t="s">
        <v>229</v>
      </c>
      <c r="D72" s="51"/>
      <c r="E72" s="168">
        <f t="shared" si="25"/>
        <v>57330412.831659369</v>
      </c>
      <c r="F72" s="87">
        <f>'Bike Operating Assumptions'!D11*'Bike Operating Assumptions'!D43</f>
        <v>36.666666666666664</v>
      </c>
      <c r="G72" s="87">
        <f>'Bike Operating Assumptions'!E11*'Bike Operating Assumptions'!E43</f>
        <v>3738.4791666666665</v>
      </c>
      <c r="H72" s="87">
        <f>'Bike Operating Assumptions'!F11*'Bike Operating Assumptions'!F43</f>
        <v>4045.9734244791662</v>
      </c>
      <c r="I72" s="87">
        <f>'Bike Operating Assumptions'!G11*'Bike Operating Assumptions'!G43</f>
        <v>4378.0499025309255</v>
      </c>
      <c r="J72" s="87">
        <f>'Bike Operating Assumptions'!H11*'Bike Operating Assumptions'!H43</f>
        <v>4736.6404941336623</v>
      </c>
      <c r="K72" s="87">
        <f>'Bike Operating Assumptions'!I11*'Bike Operating Assumptions'!I43</f>
        <v>5123.8273103519296</v>
      </c>
      <c r="L72" s="87">
        <f>'Bike Operating Assumptions'!J11*'Bike Operating Assumptions'!J43</f>
        <v>5541.8542814704579</v>
      </c>
      <c r="M72" s="87">
        <f>'Bike Operating Assumptions'!K11*'Bike Operating Assumptions'!K43</f>
        <v>5993.1396505336725</v>
      </c>
      <c r="N72" s="87">
        <f>'Bike Operating Assumptions'!L11*'Bike Operating Assumptions'!L43</f>
        <v>6480.2894273555758</v>
      </c>
      <c r="O72" s="87">
        <f>'Bike Operating Assumptions'!M11*'Bike Operating Assumptions'!M43</f>
        <v>7006.1118766326263</v>
      </c>
      <c r="P72" s="87">
        <f>'Bike Operating Assumptions'!N11*'Bike Operating Assumptions'!N43</f>
        <v>7573.6331194268896</v>
      </c>
      <c r="Q72" s="87">
        <f>'Bike Operating Assumptions'!O11*'Bike Operating Assumptions'!O43</f>
        <v>8186.1139333518922</v>
      </c>
      <c r="R72" s="87">
        <f>'Bike Operating Assumptions'!P11*'Bike Operating Assumptions'!P43</f>
        <v>8847.0678433224639</v>
      </c>
      <c r="S72" s="87">
        <f>'Bike Operating Assumptions'!Q11*'Bike Operating Assumptions'!Q43</f>
        <v>9560.2806017575149</v>
      </c>
      <c r="T72" s="87">
        <f>'Bike Operating Assumptions'!R11*'Bike Operating Assumptions'!R43</f>
        <v>10329.831164689436</v>
      </c>
      <c r="U72" s="87">
        <f>'Bike Operating Assumptions'!S11*'Bike Operating Assumptions'!S43</f>
        <v>11160.114278376717</v>
      </c>
      <c r="V72" s="87">
        <f>'Bike Operating Assumptions'!T11*'Bike Operating Assumptions'!T43</f>
        <v>12055.864799781251</v>
      </c>
      <c r="W72" s="87">
        <f>'Bike Operating Assumptions'!U11*'Bike Operating Assumptions'!U43</f>
        <v>13022.183883706597</v>
      </c>
      <c r="X72" s="87">
        <f>'Bike Operating Assumptions'!V11*'Bike Operating Assumptions'!V43</f>
        <v>14064.56717954894</v>
      </c>
      <c r="Y72" s="87">
        <f>'Bike Operating Assumptions'!W11*'Bike Operating Assumptions'!W43</f>
        <v>15188.935191543937</v>
      </c>
    </row>
    <row r="73" spans="1:25" s="64" customFormat="1" ht="11.4">
      <c r="A73" s="51"/>
      <c r="B73" s="54" t="s">
        <v>396</v>
      </c>
      <c r="D73" s="51"/>
      <c r="E73" s="168">
        <f t="shared" si="25"/>
        <v>28412952.599370375</v>
      </c>
      <c r="F73" s="87">
        <f>'Bike Operating Assumptions'!D11*'Bike Operating Assumptions'!D40*'Bike Operating Assumptions'!D41</f>
        <v>18.172000000000001</v>
      </c>
      <c r="G73" s="87">
        <f>'Bike Operating Assumptions'!E11*'Bike Operating Assumptions'!E40*'Bike Operating Assumptions'!E41</f>
        <v>1852.7902750000001</v>
      </c>
      <c r="H73" s="87">
        <f>'Bike Operating Assumptions'!F11*'Bike Operating Assumptions'!F40*'Bike Operating Assumptions'!F41</f>
        <v>2005.1844291718751</v>
      </c>
      <c r="I73" s="87">
        <f>'Bike Operating Assumptions'!G11*'Bike Operating Assumptions'!G40*'Bike Operating Assumptions'!G41</f>
        <v>2169.761531694327</v>
      </c>
      <c r="J73" s="87">
        <f>'Bike Operating Assumptions'!H11*'Bike Operating Assumptions'!H40*'Bike Operating Assumptions'!H41</f>
        <v>2347.4790288926433</v>
      </c>
      <c r="K73" s="87">
        <f>'Bike Operating Assumptions'!I11*'Bike Operating Assumptions'!I40*'Bike Operating Assumptions'!I41</f>
        <v>2539.3688150104167</v>
      </c>
      <c r="L73" s="87">
        <f>'Bike Operating Assumptions'!J11*'Bike Operating Assumptions'!J40*'Bike Operating Assumptions'!J41</f>
        <v>2746.5429818967596</v>
      </c>
      <c r="M73" s="87">
        <f>'Bike Operating Assumptions'!K11*'Bike Operating Assumptions'!K40*'Bike Operating Assumptions'!K41</f>
        <v>2970.2000108044886</v>
      </c>
      <c r="N73" s="87">
        <f>'Bike Operating Assumptions'!L11*'Bike Operating Assumptions'!L40*'Bike Operating Assumptions'!L41</f>
        <v>3211.6314401974237</v>
      </c>
      <c r="O73" s="87">
        <f>'Bike Operating Assumptions'!M11*'Bike Operating Assumptions'!M40*'Bike Operating Assumptions'!M41</f>
        <v>3472.2290460591298</v>
      </c>
      <c r="P73" s="87">
        <f>'Bike Operating Assumptions'!N11*'Bike Operating Assumptions'!N40*'Bike Operating Assumptions'!N41</f>
        <v>3753.4925739879668</v>
      </c>
      <c r="Q73" s="87">
        <f>'Bike Operating Assumptions'!O11*'Bike Operating Assumptions'!O40*'Bike Operating Assumptions'!O41</f>
        <v>4057.0380653691982</v>
      </c>
      <c r="R73" s="87">
        <f>'Bike Operating Assumptions'!P11*'Bike Operating Assumptions'!P40*'Bike Operating Assumptions'!P41</f>
        <v>4384.6068231506142</v>
      </c>
      <c r="S73" s="87">
        <f>'Bike Operating Assumptions'!Q11*'Bike Operating Assumptions'!Q40*'Bike Operating Assumptions'!Q41</f>
        <v>4738.0750662310247</v>
      </c>
      <c r="T73" s="87">
        <f>'Bike Operating Assumptions'!R11*'Bike Operating Assumptions'!R40*'Bike Operating Assumptions'!R41</f>
        <v>5119.4643252200849</v>
      </c>
      <c r="U73" s="87">
        <f>'Bike Operating Assumptions'!S11*'Bike Operating Assumptions'!S40*'Bike Operating Assumptions'!S41</f>
        <v>5530.9526363635023</v>
      </c>
      <c r="V73" s="87">
        <f>'Bike Operating Assumptions'!T11*'Bike Operating Assumptions'!T40*'Bike Operating Assumptions'!T41</f>
        <v>5974.8865947715885</v>
      </c>
      <c r="W73" s="87">
        <f>'Bike Operating Assumptions'!U11*'Bike Operating Assumptions'!U40*'Bike Operating Assumptions'!U41</f>
        <v>6453.79433276499</v>
      </c>
      <c r="X73" s="87">
        <f>'Bike Operating Assumptions'!V11*'Bike Operating Assumptions'!V40*'Bike Operating Assumptions'!V41</f>
        <v>6970.3994941844549</v>
      </c>
      <c r="Y73" s="87">
        <f>'Bike Operating Assumptions'!W11*'Bike Operating Assumptions'!W40*'Bike Operating Assumptions'!W41</f>
        <v>7527.6362809291759</v>
      </c>
    </row>
    <row r="74" spans="1:25" s="64" customFormat="1" ht="11.4">
      <c r="A74" s="51"/>
      <c r="B74" s="54"/>
      <c r="D74" s="51"/>
      <c r="E74" s="140"/>
      <c r="F74" s="51"/>
      <c r="G74" s="87"/>
      <c r="H74" s="87"/>
      <c r="I74" s="87"/>
      <c r="J74" s="87"/>
      <c r="K74" s="87"/>
      <c r="L74" s="87"/>
      <c r="M74" s="87"/>
      <c r="N74" s="87"/>
      <c r="O74" s="87"/>
      <c r="P74" s="87"/>
      <c r="Q74" s="87"/>
      <c r="R74" s="87"/>
      <c r="S74" s="87"/>
      <c r="T74" s="87"/>
      <c r="U74" s="87"/>
      <c r="V74" s="87"/>
      <c r="W74" s="87"/>
      <c r="X74" s="87"/>
      <c r="Y74" s="87"/>
    </row>
    <row r="75" spans="1:25" s="64" customFormat="1" ht="12">
      <c r="A75" s="51"/>
      <c r="B75" s="78" t="s">
        <v>223</v>
      </c>
      <c r="D75" s="51"/>
      <c r="E75" s="140"/>
      <c r="F75" s="51"/>
      <c r="G75" s="87"/>
      <c r="H75" s="87"/>
      <c r="I75" s="87"/>
      <c r="J75" s="87"/>
      <c r="K75" s="87"/>
      <c r="L75" s="87"/>
      <c r="M75" s="87"/>
      <c r="N75" s="87"/>
      <c r="O75" s="87"/>
      <c r="P75" s="87"/>
      <c r="Q75" s="87"/>
      <c r="R75" s="87"/>
      <c r="S75" s="87"/>
      <c r="T75" s="87"/>
      <c r="U75" s="87"/>
      <c r="V75" s="87"/>
      <c r="W75" s="87"/>
      <c r="X75" s="87"/>
      <c r="Y75" s="87"/>
    </row>
    <row r="76" spans="1:25" s="64" customFormat="1" ht="11.4">
      <c r="A76" s="51"/>
      <c r="B76" s="54" t="s">
        <v>213</v>
      </c>
      <c r="D76" s="51"/>
      <c r="E76" s="140"/>
      <c r="F76" s="116">
        <f>('Auto Operating Assumptions'!D13-'Bike Operating Assumptions'!D21)*1.5*'Bike Sharing CBA'!F67</f>
        <v>10.516813698630139</v>
      </c>
      <c r="G76" s="116">
        <f>('Auto Operating Assumptions'!E13-'Bike Operating Assumptions'!E21)*1.5*'Bike Sharing CBA'!G67</f>
        <v>1282.3361256837541</v>
      </c>
      <c r="H76" s="116">
        <f>('Auto Operating Assumptions'!F13-'Bike Operating Assumptions'!F21)*1.5*'Bike Sharing CBA'!H67</f>
        <v>1400.6249920855123</v>
      </c>
      <c r="I76" s="116">
        <f>('Auto Operating Assumptions'!G13-'Bike Operating Assumptions'!G21)*1.5*'Bike Sharing CBA'!I67</f>
        <v>1528.6699461430201</v>
      </c>
      <c r="J76" s="116">
        <f>('Auto Operating Assumptions'!H13-'Bike Operating Assumptions'!H21)*1.5*'Bike Sharing CBA'!J67</f>
        <v>1667.2467672196412</v>
      </c>
      <c r="K76" s="116">
        <f>('Auto Operating Assumptions'!I13-'Bike Operating Assumptions'!I21)*1.5*'Bike Sharing CBA'!K67</f>
        <v>1817.1918099253724</v>
      </c>
      <c r="L76" s="116">
        <f>('Auto Operating Assumptions'!J13-'Bike Operating Assumptions'!J21)*1.5*'Bike Sharing CBA'!L67</f>
        <v>1979.4066933585059</v>
      </c>
      <c r="M76" s="116">
        <f>('Auto Operating Assumptions'!K13-'Bike Operating Assumptions'!K21)*1.5*'Bike Sharing CBA'!M67</f>
        <v>2154.8633511946387</v>
      </c>
      <c r="N76" s="116">
        <f>('Auto Operating Assumptions'!L13-'Bike Operating Assumptions'!L21)*1.5*'Bike Sharing CBA'!N67</f>
        <v>2344.6094703179165</v>
      </c>
      <c r="O76" s="116">
        <f>('Auto Operating Assumptions'!M13-'Bike Operating Assumptions'!M21)*1.5*'Bike Sharing CBA'!O67</f>
        <v>2549.7743478084585</v>
      </c>
      <c r="P76" s="116">
        <f>('Auto Operating Assumptions'!N13-'Bike Operating Assumptions'!N21)*1.5*'Bike Sharing CBA'!P67</f>
        <v>2771.5751983812115</v>
      </c>
      <c r="Q76" s="116">
        <f>('Auto Operating Assumptions'!O13-'Bike Operating Assumptions'!O21)*1.5*'Bike Sharing CBA'!Q67</f>
        <v>3011.3239468272036</v>
      </c>
      <c r="R76" s="116">
        <f>('Auto Operating Assumptions'!P13-'Bike Operating Assumptions'!P21)*1.5*'Bike Sharing CBA'!R67</f>
        <v>3270.4345426518307</v>
      </c>
      <c r="S76" s="116">
        <f>('Auto Operating Assumptions'!Q13-'Bike Operating Assumptions'!Q21)*1.5*'Bike Sharing CBA'!S67</f>
        <v>3550.4308369505552</v>
      </c>
      <c r="T76" s="116">
        <f>('Auto Operating Assumptions'!R13-'Bike Operating Assumptions'!R21)*1.5*'Bike Sharing CBA'!T67</f>
        <v>3852.9550646257799</v>
      </c>
      <c r="U76" s="116">
        <f>('Auto Operating Assumptions'!S13-'Bike Operating Assumptions'!S21)*1.5*'Bike Sharing CBA'!U67</f>
        <v>4179.7769783462727</v>
      </c>
      <c r="V76" s="116">
        <f>('Auto Operating Assumptions'!T13-'Bike Operating Assumptions'!T21)*1.5*'Bike Sharing CBA'!V67</f>
        <v>4532.803684200112</v>
      </c>
      <c r="W76" s="116">
        <f>('Auto Operating Assumptions'!U13-'Bike Operating Assumptions'!U21)*1.5*'Bike Sharing CBA'!W67</f>
        <v>4914.090232813227</v>
      </c>
      <c r="X76" s="116">
        <f>('Auto Operating Assumptions'!V13-'Bike Operating Assumptions'!V21)*1.5*'Bike Sharing CBA'!X67</f>
        <v>5325.8510238184836</v>
      </c>
      <c r="Y76" s="116">
        <f>('Auto Operating Assumptions'!W13-'Bike Operating Assumptions'!W21)*1.5*'Bike Sharing CBA'!Y67</f>
        <v>5770.4720859877616</v>
      </c>
    </row>
    <row r="77" spans="1:25" s="64" customFormat="1" ht="11.4">
      <c r="A77" s="51"/>
      <c r="B77" s="54" t="s">
        <v>224</v>
      </c>
      <c r="D77" s="51"/>
      <c r="E77" s="140"/>
      <c r="F77" s="116">
        <f>('Auto Operating Assumptions'!D25-('Bike Operating Assumptions'!D21*1.5))*'Bike Sharing CBA'!F68</f>
        <v>52.832020547945206</v>
      </c>
      <c r="G77" s="116">
        <f>('Auto Operating Assumptions'!E25-('Bike Operating Assumptions'!E21*1.5))*'Bike Sharing CBA'!G68</f>
        <v>5454.4351991116955</v>
      </c>
      <c r="H77" s="116">
        <f>('Auto Operating Assumptions'!F25-('Bike Operating Assumptions'!F21*1.5))*'Bike Sharing CBA'!H68</f>
        <v>5907.2027804724567</v>
      </c>
      <c r="I77" s="116">
        <f>('Auto Operating Assumptions'!G25-('Bike Operating Assumptions'!G21*1.5))*'Bike Sharing CBA'!I68</f>
        <v>6396.262923543065</v>
      </c>
      <c r="J77" s="116">
        <f>('Auto Operating Assumptions'!H25-('Bike Operating Assumptions'!H21*1.5))*'Bike Sharing CBA'!J68</f>
        <v>6924.4707480779116</v>
      </c>
      <c r="K77" s="116">
        <f>('Auto Operating Assumptions'!I25-('Bike Operating Assumptions'!I21*1.5))*'Bike Sharing CBA'!K68</f>
        <v>7494.9034603405653</v>
      </c>
      <c r="L77" s="116">
        <f>('Auto Operating Assumptions'!J25-('Bike Operating Assumptions'!J21*1.5))*'Bike Sharing CBA'!L68</f>
        <v>8110.8775086008573</v>
      </c>
      <c r="M77" s="116">
        <f>('Auto Operating Assumptions'!K25-('Bike Operating Assumptions'!K21*1.5))*'Bike Sharing CBA'!M68</f>
        <v>8775.9670578598652</v>
      </c>
      <c r="N77" s="116">
        <f>('Auto Operating Assumptions'!L25-('Bike Operating Assumptions'!L21*1.5))*'Bike Sharing CBA'!N68</f>
        <v>9494.0238849613161</v>
      </c>
      <c r="O77" s="116">
        <f>('Auto Operating Assumptions'!M25-('Bike Operating Assumptions'!M21*1.5))*'Bike Sharing CBA'!O68</f>
        <v>10269.198802989364</v>
      </c>
      <c r="P77" s="116">
        <f>('Auto Operating Assumptions'!N25-('Bike Operating Assumptions'!N21*1.5))*'Bike Sharing CBA'!P68</f>
        <v>11105.96473218609</v>
      </c>
      <c r="Q77" s="116">
        <f>('Auto Operating Assumptions'!O25-('Bike Operating Assumptions'!O21*1.5))*'Bike Sharing CBA'!Q68</f>
        <v>12009.141543592188</v>
      </c>
      <c r="R77" s="116">
        <f>('Auto Operating Assumptions'!P25-('Bike Operating Assumptions'!P21*1.5))*'Bike Sharing CBA'!R68</f>
        <v>12983.922811270242</v>
      </c>
      <c r="S77" s="116">
        <f>('Auto Operating Assumptions'!Q25-('Bike Operating Assumptions'!Q21*1.5))*'Bike Sharing CBA'!S68</f>
        <v>14035.904619363799</v>
      </c>
      <c r="T77" s="116">
        <f>('Auto Operating Assumptions'!R25-('Bike Operating Assumptions'!R21*1.5))*'Bike Sharing CBA'!T68</f>
        <v>15171.116581433447</v>
      </c>
      <c r="U77" s="116">
        <f>('Auto Operating Assumptions'!S25-('Bike Operating Assumptions'!S21*1.5))*'Bike Sharing CBA'!U68</f>
        <v>16396.055241554499</v>
      </c>
      <c r="V77" s="116">
        <f>('Auto Operating Assumptions'!T25-('Bike Operating Assumptions'!T21*1.5))*'Bike Sharing CBA'!V68</f>
        <v>17717.720039623797</v>
      </c>
      <c r="W77" s="116">
        <f>('Auto Operating Assumptions'!U25-('Bike Operating Assumptions'!U21*1.5))*'Bike Sharing CBA'!W68</f>
        <v>19143.652037277476</v>
      </c>
      <c r="X77" s="116">
        <f>('Auto Operating Assumptions'!V25-('Bike Operating Assumptions'!V21*1.5))*'Bike Sharing CBA'!X68</f>
        <v>20681.975615841096</v>
      </c>
      <c r="Y77" s="116">
        <f>('Auto Operating Assumptions'!W25-('Bike Operating Assumptions'!W21*1.5))*'Bike Sharing CBA'!Y68</f>
        <v>22341.44337390142</v>
      </c>
    </row>
    <row r="78" spans="1:25" s="64" customFormat="1" ht="11.4">
      <c r="A78" s="51"/>
      <c r="B78" s="54" t="s">
        <v>214</v>
      </c>
      <c r="D78" s="51"/>
      <c r="E78" s="140"/>
      <c r="F78" s="116">
        <f>('Other Mode Assumptions'!C26-('Bike Operating Assumptions'!D21*1.5))*'Bike Sharing CBA'!F69</f>
        <v>263.7664727390067</v>
      </c>
      <c r="G78" s="116">
        <f>('Other Mode Assumptions'!D26-('Bike Operating Assumptions'!E21*1.5))*'Bike Sharing CBA'!G69</f>
        <v>28248.448532378254</v>
      </c>
      <c r="H78" s="116">
        <f>('Other Mode Assumptions'!E26-('Bike Operating Assumptions'!F21*1.5))*'Bike Sharing CBA'!H69</f>
        <v>30654.595163998893</v>
      </c>
      <c r="I78" s="116">
        <f>('Other Mode Assumptions'!F26-('Bike Operating Assumptions'!G21*1.5))*'Bike Sharing CBA'!I69</f>
        <v>33255.031163326741</v>
      </c>
      <c r="J78" s="116">
        <f>('Other Mode Assumptions'!G26-('Bike Operating Assumptions'!H21*1.5))*'Bike Sharing CBA'!J69</f>
        <v>36065.083983860102</v>
      </c>
      <c r="K78" s="116">
        <f>('Other Mode Assumptions'!H26-('Bike Operating Assumptions'!I21*1.5))*'Bike Sharing CBA'!K69</f>
        <v>39101.274525427667</v>
      </c>
      <c r="L78" s="116">
        <f>('Other Mode Assumptions'!I26-('Bike Operating Assumptions'!J21*1.5))*'Bike Sharing CBA'!L69</f>
        <v>42381.409375918505</v>
      </c>
      <c r="M78" s="116">
        <f>('Other Mode Assumptions'!J26-('Bike Operating Assumptions'!K21*1.5))*'Bike Sharing CBA'!M69</f>
        <v>45924.680147548577</v>
      </c>
      <c r="N78" s="116">
        <f>('Other Mode Assumptions'!K26-('Bike Operating Assumptions'!L21*1.5))*'Bike Sharing CBA'!N69</f>
        <v>49751.770451803226</v>
      </c>
      <c r="O78" s="116">
        <f>('Other Mode Assumptions'!L26-('Bike Operating Assumptions'!M21*1.5))*'Bike Sharing CBA'!O69</f>
        <v>53884.971098835253</v>
      </c>
      <c r="P78" s="116">
        <f>('Other Mode Assumptions'!M26-('Bike Operating Assumptions'!N21*1.5))*'Bike Sharing CBA'!P69</f>
        <v>58348.304151922377</v>
      </c>
      <c r="Q78" s="116">
        <f>('Other Mode Assumptions'!N26-('Bike Operating Assumptions'!O21*1.5))*'Bike Sharing CBA'!Q69</f>
        <v>63167.656515839459</v>
      </c>
      <c r="R78" s="116">
        <f>('Other Mode Assumptions'!O26-('Bike Operating Assumptions'!P21*1.5))*'Bike Sharing CBA'!R69</f>
        <v>68370.923789940382</v>
      </c>
      <c r="S78" s="116">
        <f>('Other Mode Assumptions'!P26-('Bike Operating Assumptions'!Q21*1.5))*'Bike Sharing CBA'!S69</f>
        <v>73988.165172654859</v>
      </c>
      <c r="T78" s="116">
        <f>('Other Mode Assumptions'!Q26-('Bike Operating Assumptions'!R21*1.5))*'Bike Sharing CBA'!T69</f>
        <v>80051.770264288658</v>
      </c>
      <c r="U78" s="116">
        <f>('Other Mode Assumptions'!R26-('Bike Operating Assumptions'!S21*1.5))*'Bike Sharing CBA'!U69</f>
        <v>86596.638679799289</v>
      </c>
      <c r="V78" s="116">
        <f>('Other Mode Assumptions'!S26-('Bike Operating Assumptions'!T21*1.5))*'Bike Sharing CBA'!V69</f>
        <v>93660.373452952379</v>
      </c>
      <c r="W78" s="116">
        <f>('Other Mode Assumptions'!T26-('Bike Operating Assumptions'!U21*1.5))*'Bike Sharing CBA'!W69</f>
        <v>101283.48928832785</v>
      </c>
      <c r="X78" s="116">
        <f>('Other Mode Assumptions'!U26-('Bike Operating Assumptions'!V21*1.5))*'Bike Sharing CBA'!X69</f>
        <v>109509.63679844151</v>
      </c>
      <c r="Y78" s="116">
        <f>('Other Mode Assumptions'!V26-('Bike Operating Assumptions'!W21*1.5))*'Bike Sharing CBA'!Y69</f>
        <v>118385.84395022196</v>
      </c>
    </row>
    <row r="79" spans="1:25" s="64" customFormat="1" ht="11.4">
      <c r="A79" s="51"/>
      <c r="B79" s="54" t="s">
        <v>230</v>
      </c>
      <c r="D79" s="51"/>
      <c r="E79" s="140"/>
      <c r="F79" s="116">
        <f t="shared" ref="F79" si="26">(-F42*1.5)*(F70+F71+F72)</f>
        <v>-34.109543378995426</v>
      </c>
      <c r="G79" s="116">
        <f t="shared" ref="G79:Y79" si="27">(-G42*1.5)*(G70+G71+G72)</f>
        <v>-2411.6612006426681</v>
      </c>
      <c r="H79" s="116">
        <f t="shared" si="27"/>
        <v>-2544.9824049416907</v>
      </c>
      <c r="I79" s="116">
        <f t="shared" si="27"/>
        <v>-2687.4410359856392</v>
      </c>
      <c r="J79" s="116">
        <f t="shared" si="27"/>
        <v>-2839.7092251286294</v>
      </c>
      <c r="K79" s="116">
        <f t="shared" si="27"/>
        <v>-3002.510081614002</v>
      </c>
      <c r="L79" s="116">
        <f t="shared" si="27"/>
        <v>-3176.6215740493553</v>
      </c>
      <c r="M79" s="116">
        <f t="shared" si="27"/>
        <v>-3362.8807089328125</v>
      </c>
      <c r="N79" s="116">
        <f t="shared" si="27"/>
        <v>-3562.1880288668981</v>
      </c>
      <c r="O79" s="116">
        <f t="shared" si="27"/>
        <v>-3775.5124548306785</v>
      </c>
      <c r="P79" s="116">
        <f t="shared" si="27"/>
        <v>-4003.8964987467953</v>
      </c>
      <c r="Q79" s="116">
        <f t="shared" si="27"/>
        <v>-4248.4618745875932</v>
      </c>
      <c r="R79" s="116">
        <f t="shared" si="27"/>
        <v>-4510.4155384250253</v>
      </c>
      <c r="S79" s="116">
        <f t="shared" si="27"/>
        <v>-4791.056190153643</v>
      </c>
      <c r="T79" s="116">
        <f t="shared" si="27"/>
        <v>-5091.7812721178016</v>
      </c>
      <c r="U79" s="116">
        <f t="shared" si="27"/>
        <v>-5414.094502566466</v>
      </c>
      <c r="V79" s="116">
        <f t="shared" si="27"/>
        <v>-5759.6139847564773</v>
      </c>
      <c r="W79" s="116">
        <f t="shared" si="27"/>
        <v>-6130.0809356433983</v>
      </c>
      <c r="X79" s="116">
        <f t="shared" si="27"/>
        <v>-6527.3690814550382</v>
      </c>
      <c r="Y79" s="116">
        <f t="shared" si="27"/>
        <v>-6953.4947710546357</v>
      </c>
    </row>
    <row r="80" spans="1:25" s="64" customFormat="1" ht="11.4">
      <c r="A80" s="51"/>
      <c r="B80" s="54" t="s">
        <v>397</v>
      </c>
      <c r="D80" s="51"/>
      <c r="E80" s="140"/>
      <c r="F80" s="116">
        <f>('Auto Operating Assumptions'!D32-'Other Mode Assumptions'!C33)*'Bike Operating Assumptions'!D42*'Bike Sharing CBA'!F73</f>
        <v>9.8147468653511947</v>
      </c>
      <c r="G80" s="116">
        <f>('Auto Operating Assumptions'!E32-'Other Mode Assumptions'!D33)*'Bike Operating Assumptions'!E42*'Bike Sharing CBA'!G73</f>
        <v>1000.6970913333384</v>
      </c>
      <c r="H80" s="116">
        <f>('Auto Operating Assumptions'!F32-'Other Mode Assumptions'!E33)*'Bike Operating Assumptions'!F42*'Bike Sharing CBA'!H73</f>
        <v>1083.0055905054855</v>
      </c>
      <c r="I80" s="116">
        <f>('Auto Operating Assumptions'!G32-'Other Mode Assumptions'!F33)*'Bike Operating Assumptions'!G42*'Bike Sharing CBA'!I73</f>
        <v>1171.894133378632</v>
      </c>
      <c r="J80" s="116">
        <f>('Auto Operating Assumptions'!H32-'Other Mode Assumptions'!G33)*'Bike Operating Assumptions'!H42*'Bike Sharing CBA'!J73</f>
        <v>1267.8798393298334</v>
      </c>
      <c r="K80" s="116">
        <f>('Auto Operating Assumptions'!I32-'Other Mode Assumptions'!H33)*'Bike Operating Assumptions'!I42*'Bike Sharing CBA'!K73</f>
        <v>1371.520037260294</v>
      </c>
      <c r="L80" s="116">
        <f>('Auto Operating Assumptions'!J32-'Other Mode Assumptions'!I33)*'Bike Operating Assumptions'!J42*'Bike Sharing CBA'!L73</f>
        <v>1483.415371017144</v>
      </c>
      <c r="M80" s="116">
        <f>('Auto Operating Assumptions'!K32-'Other Mode Assumptions'!J33)*'Bike Operating Assumptions'!K42*'Bike Sharing CBA'!M73</f>
        <v>1604.2131436005632</v>
      </c>
      <c r="N80" s="116">
        <f>('Auto Operating Assumptions'!L32-'Other Mode Assumptions'!K33)*'Bike Operating Assumptions'!L42*'Bike Sharing CBA'!N73</f>
        <v>1734.6109184647262</v>
      </c>
      <c r="O80" s="116">
        <f>('Auto Operating Assumptions'!M32-'Other Mode Assumptions'!L33)*'Bike Operating Assumptions'!M42*'Bike Sharing CBA'!O73</f>
        <v>1875.3603976221775</v>
      </c>
      <c r="P80" s="116">
        <f>('Auto Operating Assumptions'!N32-'Other Mode Assumptions'!M33)*'Bike Operating Assumptions'!N42*'Bike Sharing CBA'!P73</f>
        <v>2027.2715977695013</v>
      </c>
      <c r="Q80" s="116">
        <f>('Auto Operating Assumptions'!O32-'Other Mode Assumptions'!N33)*'Bike Operating Assumptions'!O42*'Bike Sharing CBA'!Q73</f>
        <v>2191.2173472756335</v>
      </c>
      <c r="R80" s="116">
        <f>('Auto Operating Assumptions'!P32-'Other Mode Assumptions'!O33)*'Bike Operating Assumptions'!P42*'Bike Sharing CBA'!R73</f>
        <v>2368.1381286217779</v>
      </c>
      <c r="S80" s="116">
        <f>('Auto Operating Assumptions'!Q32-'Other Mode Assumptions'!P33)*'Bike Operating Assumptions'!Q42*'Bike Sharing CBA'!S73</f>
        <v>2559.0472927630199</v>
      </c>
      <c r="T80" s="116">
        <f>('Auto Operating Assumptions'!R32-'Other Mode Assumptions'!Q33)*'Bike Operating Assumptions'!R42*'Bike Sharing CBA'!T73</f>
        <v>2765.0366739066194</v>
      </c>
      <c r="U80" s="116">
        <f>('Auto Operating Assumptions'!S32-'Other Mode Assumptions'!R33)*'Bike Operating Assumptions'!S42*'Bike Sharing CBA'!U73</f>
        <v>2987.2826353816095</v>
      </c>
      <c r="V80" s="116">
        <f>('Auto Operating Assumptions'!T32-'Other Mode Assumptions'!S33)*'Bike Operating Assumptions'!T42*'Bike Sharing CBA'!V73</f>
        <v>3227.0525796204774</v>
      </c>
      <c r="W80" s="116">
        <f>('Auto Operating Assumptions'!U32-'Other Mode Assumptions'!T33)*'Bike Operating Assumptions'!U42*'Bike Sharing CBA'!W73</f>
        <v>3485.711957799168</v>
      </c>
      <c r="X80" s="116">
        <f>('Auto Operating Assumptions'!V32-'Other Mode Assumptions'!U33)*'Bike Operating Assumptions'!V42*'Bike Sharing CBA'!X73</f>
        <v>3764.7318173999793</v>
      </c>
      <c r="Y80" s="116">
        <f>('Auto Operating Assumptions'!W32-'Other Mode Assumptions'!V33)*'Bike Operating Assumptions'!W42*'Bike Sharing CBA'!Y73</f>
        <v>4065.6969288880446</v>
      </c>
    </row>
    <row r="81" spans="1:26" s="64" customFormat="1" ht="11.4">
      <c r="A81" s="51"/>
      <c r="B81" s="54" t="s">
        <v>177</v>
      </c>
      <c r="D81" s="51"/>
      <c r="E81" s="140"/>
      <c r="F81" s="116">
        <f>('Bike Operating Assumptions'!D10*'Bike Operating Assumptions'!D36*14)*(250/365)</f>
        <v>163.49315068493152</v>
      </c>
      <c r="G81" s="116">
        <f>('Bike Operating Assumptions'!E10*'Bike Operating Assumptions'!E36*14)*(250/365)</f>
        <v>14051.075128424656</v>
      </c>
      <c r="H81" s="116">
        <f>('Bike Operating Assumptions'!F10*'Bike Operating Assumptions'!F36*14)*(250/365)</f>
        <v>15172.487857314851</v>
      </c>
      <c r="I81" s="116">
        <f>('Bike Operating Assumptions'!G10*'Bike Operating Assumptions'!G36*14)*(250/365)</f>
        <v>16381.940480706789</v>
      </c>
      <c r="J81" s="116">
        <f>('Bike Operating Assumptions'!H10*'Bike Operating Assumptions'!H36*14)*(250/365)</f>
        <v>17686.274231861109</v>
      </c>
      <c r="K81" s="116">
        <f>('Bike Operating Assumptions'!I10*'Bike Operating Assumptions'!I36*14)*(250/365)</f>
        <v>19092.858477759404</v>
      </c>
      <c r="L81" s="116">
        <f>('Bike Operating Assumptions'!J10*'Bike Operating Assumptions'!J36*14)*(250/365)</f>
        <v>20609.631317840714</v>
      </c>
      <c r="M81" s="116">
        <f>('Bike Operating Assumptions'!K10*'Bike Operating Assumptions'!K36*14)*(250/365)</f>
        <v>22245.143295024052</v>
      </c>
      <c r="N81" s="116">
        <f>('Bike Operating Assumptions'!L10*'Bike Operating Assumptions'!L36*14)*(250/365)</f>
        <v>24008.604457170768</v>
      </c>
      <c r="O81" s="116">
        <f>('Bike Operating Assumptions'!M10*'Bike Operating Assumptions'!M36*14)*(250/365)</f>
        <v>25909.935025342416</v>
      </c>
      <c r="P81" s="116">
        <f>('Bike Operating Assumptions'!N10*'Bike Operating Assumptions'!N36*14)*(250/365)</f>
        <v>27959.819944801715</v>
      </c>
      <c r="Q81" s="116">
        <f>('Bike Operating Assumptions'!O10*'Bike Operating Assumptions'!O36*14)*(250/365)</f>
        <v>30169.767615792247</v>
      </c>
      <c r="R81" s="116">
        <f>('Bike Operating Assumptions'!P10*'Bike Operating Assumptions'!P36*14)*(250/365)</f>
        <v>32552.1731238309</v>
      </c>
      <c r="S81" s="116">
        <f>('Bike Operating Assumptions'!Q10*'Bike Operating Assumptions'!Q36*14)*(250/365)</f>
        <v>35120.386313678813</v>
      </c>
      <c r="T81" s="116">
        <f>('Bike Operating Assumptions'!R10*'Bike Operating Assumptions'!R36*14)*(250/365)</f>
        <v>37888.785077453627</v>
      </c>
      <c r="U81" s="116">
        <f>('Bike Operating Assumptions'!S10*'Bike Operating Assumptions'!S36*14)*(250/365)</f>
        <v>40872.854255651226</v>
      </c>
      <c r="V81" s="116">
        <f>('Bike Operating Assumptions'!T10*'Bike Operating Assumptions'!T36*14)*(250/365)</f>
        <v>44089.270580311008</v>
      </c>
      <c r="W81" s="116">
        <f>('Bike Operating Assumptions'!U10*'Bike Operating Assumptions'!U36*14)*(250/365)</f>
        <v>47555.994122351694</v>
      </c>
      <c r="X81" s="116">
        <f>('Bike Operating Assumptions'!V10*'Bike Operating Assumptions'!V36*14)*(250/365)</f>
        <v>51292.366740400277</v>
      </c>
      <c r="Y81" s="116">
        <f>('Bike Operating Assumptions'!W10*'Bike Operating Assumptions'!W36*14)*(250/365)</f>
        <v>55319.218066427406</v>
      </c>
    </row>
    <row r="82" spans="1:26" s="7" customFormat="1" ht="12">
      <c r="A82" s="69"/>
      <c r="B82" s="74" t="s">
        <v>421</v>
      </c>
      <c r="D82" s="69"/>
      <c r="E82" s="143">
        <f>SUM(F82:Y82)*365</f>
        <v>373306953.69807726</v>
      </c>
      <c r="F82" s="117">
        <f>((SUM(F76:F81))/2)+Bikestations!D38</f>
        <v>233.15683057843466</v>
      </c>
      <c r="G82" s="117">
        <f>((SUM(G76:G81))/2)+Bikestations!E38</f>
        <v>23914.925476499266</v>
      </c>
      <c r="H82" s="117">
        <f>((SUM(H76:H81))/2)+Bikestations!F38</f>
        <v>25964.596108369555</v>
      </c>
      <c r="I82" s="117">
        <f>((SUM(I76:I81))/2)+Bikestations!G38</f>
        <v>28151.594902320994</v>
      </c>
      <c r="J82" s="117">
        <f>((SUM(J76:J81))/2)+Bikestations!H38</f>
        <v>30514.310223328255</v>
      </c>
      <c r="K82" s="117">
        <f>((SUM(K76:K81))/2)+Bikestations!I38</f>
        <v>33066.562088210194</v>
      </c>
      <c r="L82" s="117">
        <f>((SUM(L76:L81))/2)+Bikestations!J38</f>
        <v>35823.244135843321</v>
      </c>
      <c r="M82" s="117">
        <f>((SUM(M76:M81))/2)+Bikestations!K38</f>
        <v>38800.406501546997</v>
      </c>
      <c r="N82" s="117">
        <f>((SUM(N76:N81))/2)+Bikestations!L38</f>
        <v>42015.345058696519</v>
      </c>
      <c r="O82" s="117">
        <f>((SUM(O76:O81))/2)+Bikestations!M38</f>
        <v>45486.697515709129</v>
      </c>
      <c r="P82" s="117">
        <f>((SUM(P76:P81))/2)+Bikestations!N38</f>
        <v>49234.546893878913</v>
      </c>
      <c r="Q82" s="117">
        <f>((SUM(Q76:Q81))/2)+Bikestations!O38</f>
        <v>53280.532951721922</v>
      </c>
      <c r="R82" s="117">
        <f>((SUM(R76:R81))/2)+Bikestations!P38</f>
        <v>57647.972164750732</v>
      </c>
      <c r="S82" s="117">
        <f>((SUM(S76:S81))/2)+Bikestations!Q38</f>
        <v>62361.986916162918</v>
      </c>
      <c r="T82" s="117">
        <f>((SUM(T76:T81))/2)+Bikestations!R38</f>
        <v>67449.644604051471</v>
      </c>
      <c r="U82" s="117">
        <f>((SUM(U76:U81))/2)+Bikestations!S38</f>
        <v>72940.10742470136</v>
      </c>
      <c r="V82" s="117">
        <f>((SUM(V76:V81))/2)+Bikestations!T38</f>
        <v>78864.793649613261</v>
      </c>
      <c r="W82" s="117">
        <f>((SUM(W76:W81))/2)+Bikestations!U38</f>
        <v>85257.551276413506</v>
      </c>
      <c r="X82" s="117">
        <f>((SUM(X76:X81))/2)+Bikestations!V38</f>
        <v>92154.845001099908</v>
      </c>
      <c r="Y82" s="117">
        <f>((SUM(Y76:Y81))/2)+Bikestations!W38</f>
        <v>99595.957531509572</v>
      </c>
    </row>
    <row r="83" spans="1:26" s="176" customFormat="1" ht="12">
      <c r="A83" s="173"/>
      <c r="B83" s="174" t="s">
        <v>292</v>
      </c>
      <c r="C83" s="173"/>
      <c r="D83" s="173"/>
      <c r="E83" s="186">
        <f>SUM(F83:Y83)*365</f>
        <v>247712187.83702636</v>
      </c>
      <c r="F83" s="175">
        <f t="shared" ref="F83" si="28">F46*F82</f>
        <v>219.77267468982436</v>
      </c>
      <c r="G83" s="175">
        <f t="shared" ref="G83:Y83" si="29">G46*G82</f>
        <v>21885.544583870691</v>
      </c>
      <c r="H83" s="175">
        <f t="shared" si="29"/>
        <v>23069.207346648454</v>
      </c>
      <c r="I83" s="175">
        <f t="shared" si="29"/>
        <v>24283.813057166542</v>
      </c>
      <c r="J83" s="175">
        <f t="shared" si="29"/>
        <v>25555.254415598502</v>
      </c>
      <c r="K83" s="175">
        <f t="shared" si="29"/>
        <v>26886.140943231672</v>
      </c>
      <c r="L83" s="175">
        <f t="shared" si="29"/>
        <v>28279.199723917263</v>
      </c>
      <c r="M83" s="175">
        <f t="shared" si="29"/>
        <v>29737.280764520066</v>
      </c>
      <c r="N83" s="175">
        <f t="shared" si="29"/>
        <v>31263.362590462271</v>
      </c>
      <c r="O83" s="175">
        <f t="shared" si="29"/>
        <v>32860.558087560341</v>
      </c>
      <c r="P83" s="175">
        <f t="shared" si="29"/>
        <v>34532.120601784118</v>
      </c>
      <c r="Q83" s="175">
        <f t="shared" si="29"/>
        <v>36281.450309025713</v>
      </c>
      <c r="R83" s="175">
        <f t="shared" si="29"/>
        <v>38112.100867452842</v>
      </c>
      <c r="S83" s="175">
        <f t="shared" si="29"/>
        <v>40027.786365536958</v>
      </c>
      <c r="T83" s="175">
        <f t="shared" si="29"/>
        <v>42032.388579391256</v>
      </c>
      <c r="U83" s="175">
        <f t="shared" si="29"/>
        <v>44129.964553628626</v>
      </c>
      <c r="V83" s="175">
        <f t="shared" si="29"/>
        <v>46324.754520553688</v>
      </c>
      <c r="W83" s="175">
        <f t="shared" si="29"/>
        <v>48621.190173139817</v>
      </c>
      <c r="X83" s="175">
        <f t="shared" si="29"/>
        <v>51023.903307908789</v>
      </c>
      <c r="Y83" s="175">
        <f t="shared" si="29"/>
        <v>53537.73485453277</v>
      </c>
      <c r="Z83" s="175"/>
    </row>
    <row r="84" spans="1:26" s="176" customFormat="1" ht="12">
      <c r="A84" s="173"/>
      <c r="B84" s="174" t="s">
        <v>293</v>
      </c>
      <c r="C84" s="173"/>
      <c r="D84" s="173"/>
      <c r="E84" s="186">
        <f>SUM(F84:Y84)*365</f>
        <v>151510807.98283377</v>
      </c>
      <c r="F84" s="175">
        <f t="shared" ref="F84" si="30">F48*F82</f>
        <v>203.64820558864062</v>
      </c>
      <c r="G84" s="175">
        <f t="shared" ref="G84:Y84" si="31">G48*G82</f>
        <v>19521.702892469293</v>
      </c>
      <c r="H84" s="175">
        <f t="shared" si="31"/>
        <v>19808.266053822939</v>
      </c>
      <c r="I84" s="175">
        <f t="shared" si="31"/>
        <v>20071.69809577776</v>
      </c>
      <c r="J84" s="175">
        <f t="shared" si="31"/>
        <v>20332.973332439491</v>
      </c>
      <c r="K84" s="175">
        <f t="shared" si="31"/>
        <v>20592.193005443703</v>
      </c>
      <c r="L84" s="175">
        <f t="shared" si="31"/>
        <v>20849.454242116935</v>
      </c>
      <c r="M84" s="175">
        <f t="shared" si="31"/>
        <v>21104.85032217277</v>
      </c>
      <c r="N84" s="175">
        <f t="shared" si="31"/>
        <v>21358.47091938429</v>
      </c>
      <c r="O84" s="175">
        <f t="shared" si="31"/>
        <v>21610.402321174541</v>
      </c>
      <c r="P84" s="175">
        <f t="shared" si="31"/>
        <v>21860.727628681034</v>
      </c>
      <c r="Q84" s="175">
        <f t="shared" si="31"/>
        <v>22109.52693951832</v>
      </c>
      <c r="R84" s="175">
        <f t="shared" si="31"/>
        <v>22356.877515177173</v>
      </c>
      <c r="S84" s="175">
        <f t="shared" si="31"/>
        <v>22602.853934752162</v>
      </c>
      <c r="T84" s="175">
        <f t="shared" si="31"/>
        <v>22847.528236476843</v>
      </c>
      <c r="U84" s="175">
        <f t="shared" si="31"/>
        <v>23090.970048361549</v>
      </c>
      <c r="V84" s="175">
        <f t="shared" si="31"/>
        <v>23333.246709069292</v>
      </c>
      <c r="W84" s="175">
        <f t="shared" si="31"/>
        <v>23574.42338002727</v>
      </c>
      <c r="X84" s="175">
        <f t="shared" si="31"/>
        <v>23814.563149650872</v>
      </c>
      <c r="Y84" s="175">
        <f t="shared" si="31"/>
        <v>24053.727130453382</v>
      </c>
      <c r="Z84" s="175"/>
    </row>
    <row r="85" spans="1:26" s="90" customFormat="1" ht="12">
      <c r="A85" s="66"/>
      <c r="B85" s="74"/>
      <c r="D85" s="66"/>
      <c r="E85" s="142"/>
      <c r="F85" s="66"/>
      <c r="G85" s="87"/>
      <c r="H85" s="64"/>
      <c r="I85" s="64"/>
      <c r="J85" s="64"/>
      <c r="K85" s="64"/>
      <c r="L85" s="64"/>
      <c r="M85" s="64"/>
      <c r="N85" s="64"/>
      <c r="O85" s="64"/>
      <c r="P85" s="64"/>
      <c r="Q85" s="64"/>
      <c r="R85" s="64"/>
      <c r="S85" s="64"/>
      <c r="T85" s="64"/>
      <c r="U85" s="64"/>
    </row>
    <row r="86" spans="1:26" s="64" customFormat="1" ht="12">
      <c r="A86" s="51"/>
      <c r="B86" s="78" t="s">
        <v>197</v>
      </c>
      <c r="D86" s="51"/>
      <c r="E86" s="140"/>
      <c r="F86" s="51"/>
      <c r="G86" s="87"/>
    </row>
    <row r="87" spans="1:26" s="64" customFormat="1" ht="11.4">
      <c r="A87" s="51"/>
      <c r="B87" s="54" t="s">
        <v>407</v>
      </c>
      <c r="D87" s="51"/>
      <c r="E87" s="140"/>
      <c r="F87" s="237">
        <f>(F67)*('Auto Operating Assumptions'!D18-'Bike Operating Assumptions'!D32)</f>
        <v>0.14682280577241594</v>
      </c>
      <c r="G87" s="237">
        <f>(G67)*('Auto Operating Assumptions'!E18-'Bike Operating Assumptions'!E32)</f>
        <v>15.731066109001773</v>
      </c>
      <c r="H87" s="237">
        <f>(H67)*('Auto Operating Assumptions'!F18-'Bike Operating Assumptions'!F32)</f>
        <v>17.853905104259706</v>
      </c>
      <c r="I87" s="237">
        <f>(I67)*('Auto Operating Assumptions'!G18-'Bike Operating Assumptions'!G32)</f>
        <v>20.221823618566955</v>
      </c>
      <c r="J87" s="237">
        <f>(J67)*('Auto Operating Assumptions'!H18-'Bike Operating Assumptions'!H32)</f>
        <v>22.860672085459587</v>
      </c>
      <c r="K87" s="237">
        <f>(K67)*('Auto Operating Assumptions'!I18-'Bike Operating Assumptions'!I32)</f>
        <v>25.798876769758703</v>
      </c>
      <c r="L87" s="237">
        <f>(L67)*('Auto Operating Assumptions'!J18-'Bike Operating Assumptions'!J32)</f>
        <v>29.067686881986134</v>
      </c>
      <c r="M87" s="237">
        <f>(M67)*('Auto Operating Assumptions'!K18-'Bike Operating Assumptions'!K32)</f>
        <v>32.701444785600692</v>
      </c>
      <c r="N87" s="237">
        <f>(N67)*('Auto Operating Assumptions'!L18-'Bike Operating Assumptions'!L32)</f>
        <v>36.737881415234057</v>
      </c>
      <c r="O87" s="237">
        <f>(O67)*('Auto Operating Assumptions'!M18-'Bike Operating Assumptions'!M32)</f>
        <v>41.218439215809525</v>
      </c>
      <c r="P87" s="237">
        <f>(P67)*('Auto Operating Assumptions'!N18-'Bike Operating Assumptions'!N32)</f>
        <v>46.188625121308561</v>
      </c>
      <c r="Q87" s="237">
        <f>(Q67)*('Auto Operating Assumptions'!O18-'Bike Operating Assumptions'!O32)</f>
        <v>51.698396319542681</v>
      </c>
      <c r="R87" s="237">
        <f>(R67)*('Auto Operating Assumptions'!P18-'Bike Operating Assumptions'!P32)</f>
        <v>57.802581797271429</v>
      </c>
      <c r="S87" s="237">
        <f>(S67)*('Auto Operating Assumptions'!Q18-'Bike Operating Assumptions'!Q32)</f>
        <v>64.5613429301536</v>
      </c>
      <c r="T87" s="237">
        <f>(T67)*('Auto Operating Assumptions'!R18-'Bike Operating Assumptions'!R32)</f>
        <v>72.040676676363518</v>
      </c>
      <c r="U87" s="237">
        <f>(U67)*('Auto Operating Assumptions'!S18-'Bike Operating Assumptions'!S32)</f>
        <v>80.312965253318168</v>
      </c>
      <c r="V87" s="237">
        <f>(V67)*('Auto Operating Assumptions'!T18-'Bike Operating Assumptions'!T32)</f>
        <v>89.457576526269477</v>
      </c>
      <c r="W87" s="237">
        <f>(W67)*('Auto Operating Assumptions'!U18-'Bike Operating Assumptions'!U32)</f>
        <v>99.561519717964629</v>
      </c>
      <c r="X87" s="237">
        <f>(X67)*('Auto Operating Assumptions'!V18-'Bike Operating Assumptions'!V32)</f>
        <v>110.72016146304578</v>
      </c>
      <c r="Y87" s="237">
        <f>(Y67)*('Auto Operating Assumptions'!W18-'Bike Operating Assumptions'!W32)</f>
        <v>123.03800768225553</v>
      </c>
    </row>
    <row r="88" spans="1:26" s="64" customFormat="1" ht="11.4">
      <c r="A88" s="51"/>
      <c r="B88" s="54" t="s">
        <v>408</v>
      </c>
      <c r="D88" s="51"/>
      <c r="E88" s="140"/>
      <c r="F88" s="237">
        <f>(F68)*('Auto Operating Assumptions'!D24-'Bike Operating Assumptions'!D32)</f>
        <v>-0.86930447125620991</v>
      </c>
      <c r="G88" s="237">
        <f>(G68)*('Auto Operating Assumptions'!E24-'Bike Operating Assumptions'!E32)</f>
        <v>-88.387441712149965</v>
      </c>
      <c r="H88" s="237">
        <f>(H68)*('Auto Operating Assumptions'!F24-'Bike Operating Assumptions'!F32)</f>
        <v>-95.390011384798612</v>
      </c>
      <c r="I88" s="237">
        <f>(I68)*('Auto Operating Assumptions'!G24-'Bike Operating Assumptions'!G32)</f>
        <v>-102.92807865405798</v>
      </c>
      <c r="J88" s="237">
        <f>(J68)*('Auto Operating Assumptions'!H24-'Bike Operating Assumptions'!H32)</f>
        <v>-111.04160200319329</v>
      </c>
      <c r="K88" s="237">
        <f>(K68)*('Auto Operating Assumptions'!I24-'Bike Operating Assumptions'!I32)</f>
        <v>-119.77346444597286</v>
      </c>
      <c r="L88" s="237">
        <f>(L68)*('Auto Operating Assumptions'!J24-'Bike Operating Assumptions'!J32)</f>
        <v>-129.16968384902398</v>
      </c>
      <c r="M88" s="237">
        <f>(M68)*('Auto Operating Assumptions'!K24-'Bike Operating Assumptions'!K32)</f>
        <v>-139.27963810669644</v>
      </c>
      <c r="N88" s="237">
        <f>(N68)*('Auto Operating Assumptions'!L24-'Bike Operating Assumptions'!L32)</f>
        <v>-150.15630619510424</v>
      </c>
      <c r="O88" s="237">
        <f>(O68)*('Auto Operating Assumptions'!M24-'Bike Operating Assumptions'!M32)</f>
        <v>-161.85652620103835</v>
      </c>
      <c r="P88" s="237">
        <f>(P68)*('Auto Operating Assumptions'!N24-'Bike Operating Assumptions'!N32)</f>
        <v>-174.44127149492755</v>
      </c>
      <c r="Q88" s="237">
        <f>(Q68)*('Auto Operating Assumptions'!O24-'Bike Operating Assumptions'!O32)</f>
        <v>-187.9759462952351</v>
      </c>
      <c r="R88" s="237">
        <f>(R68)*('Auto Operating Assumptions'!P24-'Bike Operating Assumptions'!P32)</f>
        <v>-202.5307019549096</v>
      </c>
      <c r="S88" s="237">
        <f>(S68)*('Auto Operating Assumptions'!Q24-'Bike Operating Assumptions'!Q32)</f>
        <v>-218.18077538904961</v>
      </c>
      <c r="T88" s="237">
        <f>(T68)*('Auto Operating Assumptions'!R24-'Bike Operating Assumptions'!R32)</f>
        <v>-235.00685115711869</v>
      </c>
      <c r="U88" s="237">
        <f>(U68)*('Auto Operating Assumptions'!S24-'Bike Operating Assumptions'!S32)</f>
        <v>-253.09544881318627</v>
      </c>
      <c r="V88" s="237">
        <f>(V68)*('Auto Operating Assumptions'!T24-'Bike Operating Assumptions'!T32)</f>
        <v>-272.53933724412184</v>
      </c>
      <c r="W88" s="237">
        <f>(W68)*('Auto Operating Assumptions'!U24-'Bike Operating Assumptions'!U32)</f>
        <v>-293.43797782880534</v>
      </c>
      <c r="X88" s="237">
        <f>(X68)*('Auto Operating Assumptions'!V24-'Bike Operating Assumptions'!V32)</f>
        <v>-315.89799837161195</v>
      </c>
      <c r="Y88" s="237">
        <f>(Y68)*('Auto Operating Assumptions'!W24-'Bike Operating Assumptions'!W32)</f>
        <v>-340.03369989109666</v>
      </c>
    </row>
    <row r="89" spans="1:26" s="64" customFormat="1" ht="11.4">
      <c r="A89" s="51"/>
      <c r="B89" s="54" t="s">
        <v>409</v>
      </c>
      <c r="D89" s="51"/>
      <c r="E89" s="140"/>
      <c r="F89" s="237">
        <f>F69*('Other Mode Assumptions'!C23-'Bike Operating Assumptions'!D32)</f>
        <v>0.45963896633379464</v>
      </c>
      <c r="G89" s="237">
        <f>G69*('Other Mode Assumptions'!D23-'Bike Operating Assumptions'!E32)</f>
        <v>46.864109995284345</v>
      </c>
      <c r="H89" s="237">
        <f>H69*('Other Mode Assumptions'!E23-'Bike Operating Assumptions'!F32)</f>
        <v>50.718737526589294</v>
      </c>
      <c r="I89" s="237">
        <f>I69*('Other Mode Assumptions'!F23-'Bike Operating Assumptions'!G32)</f>
        <v>54.881518138829591</v>
      </c>
      <c r="J89" s="237">
        <f>J69*('Other Mode Assumptions'!G23-'Bike Operating Assumptions'!H32)</f>
        <v>59.376669289592478</v>
      </c>
      <c r="K89" s="237">
        <f>K69*('Other Mode Assumptions'!H23-'Bike Operating Assumptions'!I32)</f>
        <v>64.230291507355318</v>
      </c>
      <c r="L89" s="237">
        <f>L69*('Other Mode Assumptions'!I23-'Bike Operating Assumptions'!J32)</f>
        <v>69.470513822934436</v>
      </c>
      <c r="M89" s="237">
        <f>M69*('Other Mode Assumptions'!J23-'Bike Operating Assumptions'!K32)</f>
        <v>75.127650383601178</v>
      </c>
      <c r="N89" s="237">
        <f>N69*('Other Mode Assumptions'!K23-'Bike Operating Assumptions'!L32)</f>
        <v>81.234369107278226</v>
      </c>
      <c r="O89" s="237">
        <f>O69*('Other Mode Assumptions'!L23-'Bike Operating Assumptions'!M32)</f>
        <v>87.825873299845711</v>
      </c>
      <c r="P89" s="237">
        <f>P69*('Other Mode Assumptions'!M23-'Bike Operating Assumptions'!N32)</f>
        <v>94.940097229220953</v>
      </c>
      <c r="Q89" s="237">
        <f>Q69*('Other Mode Assumptions'!N23-'Bike Operating Assumptions'!O32)</f>
        <v>102.61791672590557</v>
      </c>
      <c r="R89" s="237">
        <f>R69*('Other Mode Assumptions'!O23-'Bike Operating Assumptions'!P32)</f>
        <v>110.90337596153705</v>
      </c>
      <c r="S89" s="237">
        <f>S69*('Other Mode Assumptions'!P23-'Bike Operating Assumptions'!Q32)</f>
        <v>119.8439316450778</v>
      </c>
      <c r="T89" s="237">
        <f>T69*('Other Mode Assumptions'!Q23-'Bike Operating Assumptions'!R32)</f>
        <v>129.49071597110375</v>
      </c>
      <c r="U89" s="237">
        <f>U69*('Other Mode Assumptions'!R23-'Bike Operating Assumptions'!S32)</f>
        <v>139.89881975672992</v>
      </c>
      <c r="V89" s="237">
        <f>V69*('Other Mode Assumptions'!S23-'Bike Operating Assumptions'!T32)</f>
        <v>151.12759731358457</v>
      </c>
      <c r="W89" s="237">
        <f>W69*('Other Mode Assumptions'!T23-'Bike Operating Assumptions'!U32)</f>
        <v>163.24099471951362</v>
      </c>
      <c r="X89" s="237">
        <f>X69*('Other Mode Assumptions'!U23-'Bike Operating Assumptions'!V32)</f>
        <v>176.3079032820024</v>
      </c>
      <c r="Y89" s="237">
        <f>Y69*('Other Mode Assumptions'!V23-'Bike Operating Assumptions'!W32)</f>
        <v>190.40254012233416</v>
      </c>
    </row>
    <row r="90" spans="1:26" s="64" customFormat="1" ht="11.4">
      <c r="A90" s="51"/>
      <c r="B90" s="54" t="s">
        <v>410</v>
      </c>
      <c r="D90" s="51"/>
      <c r="E90" s="140"/>
      <c r="F90" s="237">
        <f>F70*('Other Mode Assumptions'!C6-'Bike Operating Assumptions'!D32)</f>
        <v>40.04</v>
      </c>
      <c r="G90" s="237">
        <f>G70*('Other Mode Assumptions'!D6-'Bike Operating Assumptions'!E32)</f>
        <v>4082.4192499999999</v>
      </c>
      <c r="H90" s="237">
        <f>H70*('Other Mode Assumptions'!E6-'Bike Operating Assumptions'!F32)</f>
        <v>4418.2029795312501</v>
      </c>
      <c r="I90" s="237">
        <f>I70*('Other Mode Assumptions'!F6-'Bike Operating Assumptions'!G32)</f>
        <v>4780.8304935637698</v>
      </c>
      <c r="J90" s="237">
        <f>J70*('Other Mode Assumptions'!G6-'Bike Operating Assumptions'!H32)</f>
        <v>5172.4114195939592</v>
      </c>
      <c r="K90" s="237">
        <f>K70*('Other Mode Assumptions'!H6-'Bike Operating Assumptions'!I32)</f>
        <v>5595.219422904308</v>
      </c>
      <c r="L90" s="237">
        <f>L70*('Other Mode Assumptions'!I6-'Bike Operating Assumptions'!J32)</f>
        <v>6051.7048753657409</v>
      </c>
      <c r="M90" s="237">
        <f>M70*('Other Mode Assumptions'!J6-'Bike Operating Assumptions'!K32)</f>
        <v>6544.508498382771</v>
      </c>
      <c r="N90" s="237">
        <f>N70*('Other Mode Assumptions'!K6-'Bike Operating Assumptions'!L32)</f>
        <v>7076.4760546722882</v>
      </c>
      <c r="O90" s="237">
        <f>O70*('Other Mode Assumptions'!L6-'Bike Operating Assumptions'!M32)</f>
        <v>7650.6741692828273</v>
      </c>
      <c r="P90" s="237">
        <f>P70*('Other Mode Assumptions'!M6-'Bike Operating Assumptions'!N32)</f>
        <v>8270.4073664141633</v>
      </c>
      <c r="Q90" s="237">
        <f>Q70*('Other Mode Assumptions'!N6-'Bike Operating Assumptions'!O32)</f>
        <v>8939.2364152202663</v>
      </c>
      <c r="R90" s="237">
        <f>R70*('Other Mode Assumptions'!O6-'Bike Operating Assumptions'!P32)</f>
        <v>9660.9980849081312</v>
      </c>
      <c r="S90" s="237">
        <f>S70*('Other Mode Assumptions'!P6-'Bike Operating Assumptions'!Q32)</f>
        <v>10439.826417119206</v>
      </c>
      <c r="T90" s="237">
        <f>T70*('Other Mode Assumptions'!Q6-'Bike Operating Assumptions'!R32)</f>
        <v>11280.175631840864</v>
      </c>
      <c r="U90" s="237">
        <f>U70*('Other Mode Assumptions'!R6-'Bike Operating Assumptions'!S32)</f>
        <v>12186.844791987378</v>
      </c>
      <c r="V90" s="237">
        <f>V70*('Other Mode Assumptions'!S6-'Bike Operating Assumptions'!T32)</f>
        <v>13165.004361361125</v>
      </c>
      <c r="W90" s="237">
        <f>W70*('Other Mode Assumptions'!T6-'Bike Operating Assumptions'!U32)</f>
        <v>14220.224801007605</v>
      </c>
      <c r="X90" s="237">
        <f>X70*('Other Mode Assumptions'!U6-'Bike Operating Assumptions'!V32)</f>
        <v>15358.507360067442</v>
      </c>
      <c r="Y90" s="237">
        <f>Y70*('Other Mode Assumptions'!V6-'Bike Operating Assumptions'!W32)</f>
        <v>16586.317229165979</v>
      </c>
    </row>
    <row r="91" spans="1:26" s="64" customFormat="1" ht="11.4">
      <c r="A91" s="51"/>
      <c r="B91" s="54" t="s">
        <v>411</v>
      </c>
      <c r="D91" s="51"/>
      <c r="E91" s="140"/>
      <c r="F91" s="237">
        <f>-(F72*F17)</f>
        <v>-5.4999999999999991</v>
      </c>
      <c r="G91" s="237">
        <f t="shared" ref="G91:N91" si="32">-(G72*G17)</f>
        <v>-560.77187499999991</v>
      </c>
      <c r="H91" s="237">
        <f t="shared" si="32"/>
        <v>-606.89601367187493</v>
      </c>
      <c r="I91" s="237">
        <f t="shared" si="32"/>
        <v>-656.7074853796388</v>
      </c>
      <c r="J91" s="237">
        <f t="shared" si="32"/>
        <v>-710.49607412004934</v>
      </c>
      <c r="K91" s="237">
        <f t="shared" si="32"/>
        <v>-768.57409655278946</v>
      </c>
      <c r="L91" s="237">
        <f t="shared" si="32"/>
        <v>-831.27814222056861</v>
      </c>
      <c r="M91" s="237">
        <f t="shared" si="32"/>
        <v>-898.97094758005085</v>
      </c>
      <c r="N91" s="237">
        <f t="shared" si="32"/>
        <v>-972.04341410333632</v>
      </c>
      <c r="O91" s="237">
        <f>-(O72*O17)</f>
        <v>-1050.9167814948939</v>
      </c>
      <c r="P91" s="237">
        <f t="shared" ref="P91:Y91" si="33">-(P72*P17)</f>
        <v>-1136.0449679140334</v>
      </c>
      <c r="Q91" s="237">
        <f t="shared" si="33"/>
        <v>-1227.9170900027839</v>
      </c>
      <c r="R91" s="237">
        <f t="shared" si="33"/>
        <v>-1327.0601764983696</v>
      </c>
      <c r="S91" s="237">
        <f t="shared" si="33"/>
        <v>-1434.0420902636272</v>
      </c>
      <c r="T91" s="237">
        <f t="shared" si="33"/>
        <v>-1549.4746747034153</v>
      </c>
      <c r="U91" s="237">
        <f t="shared" si="33"/>
        <v>-1674.0171417565075</v>
      </c>
      <c r="V91" s="237">
        <f t="shared" si="33"/>
        <v>-1808.3797199671876</v>
      </c>
      <c r="W91" s="237">
        <f t="shared" si="33"/>
        <v>-1953.3275825559895</v>
      </c>
      <c r="X91" s="237">
        <f t="shared" si="33"/>
        <v>-2109.685076932341</v>
      </c>
      <c r="Y91" s="237">
        <f t="shared" si="33"/>
        <v>-2278.3402787315904</v>
      </c>
    </row>
    <row r="92" spans="1:26" s="64" customFormat="1" ht="11.4">
      <c r="A92" s="51"/>
      <c r="B92" s="54" t="s">
        <v>412</v>
      </c>
      <c r="D92" s="51"/>
      <c r="E92" s="140"/>
      <c r="F92" s="237">
        <f>(F73)*('Auto Operating Assumptions'!D29-'Other Mode Assumptions'!C30)</f>
        <v>0.17453006219524514</v>
      </c>
      <c r="G92" s="237">
        <f>(G73)*('Auto Operating Assumptions'!E29-'Other Mode Assumptions'!D30)</f>
        <v>19.552695020087977</v>
      </c>
      <c r="H92" s="237">
        <f>(H73)*('Auto Operating Assumptions'!F29-'Other Mode Assumptions'!E30)</f>
        <v>23.07515558229257</v>
      </c>
      <c r="I92" s="237">
        <f>(I73)*('Auto Operating Assumptions'!G29-'Other Mode Assumptions'!F30)</f>
        <v>27.05326710560972</v>
      </c>
      <c r="J92" s="237">
        <f>(J73)*('Auto Operating Assumptions'!H29-'Other Mode Assumptions'!G30)</f>
        <v>31.53805639887306</v>
      </c>
      <c r="K92" s="237">
        <f>(K73)*('Auto Operating Assumptions'!I29-'Other Mode Assumptions'!H30)</f>
        <v>36.5858244885465</v>
      </c>
      <c r="L92" s="237">
        <f>(L73)*('Auto Operating Assumptions'!J29-'Other Mode Assumptions'!I30)</f>
        <v>42.258665212260972</v>
      </c>
      <c r="M92" s="237">
        <f>(M73)*('Auto Operating Assumptions'!K29-'Other Mode Assumptions'!J30)</f>
        <v>48.625033136735041</v>
      </c>
      <c r="N92" s="237">
        <f>(N73)*('Auto Operating Assumptions'!L29-'Other Mode Assumptions'!K30)</f>
        <v>55.760365384584695</v>
      </c>
      <c r="O92" s="237">
        <f>(O73)*('Auto Operating Assumptions'!M29-'Other Mode Assumptions'!L30)</f>
        <v>63.747762373727483</v>
      </c>
      <c r="P92" s="237">
        <f>(P73)*('Auto Operating Assumptions'!N29-'Other Mode Assumptions'!M30)</f>
        <v>72.678732930164855</v>
      </c>
      <c r="Q92" s="237">
        <f>(Q73)*('Auto Operating Assumptions'!O29-'Other Mode Assumptions'!N30)</f>
        <v>82.654009733294401</v>
      </c>
      <c r="R92" s="237">
        <f>(R73)*('Auto Operating Assumptions'!P29-'Other Mode Assumptions'!O30)</f>
        <v>93.784441596231105</v>
      </c>
      <c r="S92" s="237">
        <f>(S73)*('Auto Operating Assumptions'!Q29-'Other Mode Assumptions'!P30)</f>
        <v>106.19196967596498</v>
      </c>
      <c r="T92" s="237">
        <f>(T73)*('Auto Operating Assumptions'!R29-'Other Mode Assumptions'!Q30)</f>
        <v>120.01069535390185</v>
      </c>
      <c r="U92" s="237">
        <f>(U73)*('Auto Operating Assumptions'!S29-'Other Mode Assumptions'!R30)</f>
        <v>135.38804823123169</v>
      </c>
      <c r="V92" s="237">
        <f>(V73)*('Auto Operating Assumptions'!T29-'Other Mode Assumptions'!S30)</f>
        <v>152.48606345082197</v>
      </c>
      <c r="W92" s="237">
        <f>(W73)*('Auto Operating Assumptions'!U29-'Other Mode Assumptions'!T30)</f>
        <v>171.48277839361103</v>
      </c>
      <c r="X92" s="237">
        <f>(X73)*('Auto Operating Assumptions'!V29-'Other Mode Assumptions'!U30)</f>
        <v>192.57375970895754</v>
      </c>
      <c r="Y92" s="237">
        <f>(Y73)*('Auto Operating Assumptions'!W29-'Other Mode Assumptions'!V30)</f>
        <v>215.97377263179482</v>
      </c>
    </row>
    <row r="93" spans="1:26" s="7" customFormat="1" ht="12">
      <c r="A93" s="69"/>
      <c r="B93" s="74" t="s">
        <v>132</v>
      </c>
      <c r="D93" s="69"/>
      <c r="E93" s="143">
        <f>SUM(F93:Y93)*365</f>
        <v>380123949.21317965</v>
      </c>
      <c r="F93" s="117">
        <f>(((SUM(F87:F92))/2)*F16)+Bikestations!D40</f>
        <v>239.6114856099797</v>
      </c>
      <c r="G93" s="117">
        <f>(((SUM(G87:G92))/2)*G16)+Bikestations!E40</f>
        <v>24558.628920846597</v>
      </c>
      <c r="H93" s="117">
        <f>(((SUM(H87:H92))/2)*H16)+Bikestations!F40</f>
        <v>26629.791927175851</v>
      </c>
      <c r="I93" s="117">
        <f>(((SUM(I87:I92))/2)*I16)+Bikestations!G40</f>
        <v>28838.132851885774</v>
      </c>
      <c r="J93" s="117">
        <f>(((SUM(J87:J92))/2)*J16)+Bikestations!H40</f>
        <v>31223.976513340542</v>
      </c>
      <c r="K93" s="117">
        <f>(((SUM(K87:K92))/2)*K16)+Bikestations!I40</f>
        <v>33801.437350157335</v>
      </c>
      <c r="L93" s="117">
        <f>(((SUM(L87:L92))/2)*L16)+Bikestations!J40</f>
        <v>36585.742214104088</v>
      </c>
      <c r="M93" s="117">
        <f>(((SUM(M87:M92))/2)*M16)+Bikestations!K40</f>
        <v>39593.31757535693</v>
      </c>
      <c r="N93" s="117">
        <f>(((SUM(N87:N92))/2)*N16)+Bikestations!L40</f>
        <v>42841.88354396521</v>
      </c>
      <c r="O93" s="117">
        <f>(((SUM(O87:O92))/2)*O16)+Bikestations!M40</f>
        <v>46350.555239601847</v>
      </c>
      <c r="P93" s="117">
        <f>(((SUM(P87:P92))/2)*P16)+Bikestations!N40</f>
        <v>50139.952083204364</v>
      </c>
      <c r="Q93" s="117">
        <f>(((SUM(Q87:Q92))/2)*Q16)+Bikestations!O40</f>
        <v>54232.315628882287</v>
      </c>
      <c r="R93" s="117">
        <f>(((SUM(R87:R92))/2)*R16)+Bikestations!P40</f>
        <v>58651.636602735423</v>
      </c>
      <c r="S93" s="117">
        <f>(((SUM(S87:S92))/2)*S16)+Bikestations!Q40</f>
        <v>63423.791867264976</v>
      </c>
      <c r="T93" s="117">
        <f>(((SUM(T87:T92))/2)*T16)+Bikestations!R40</f>
        <v>68576.692086164068</v>
      </c>
      <c r="U93" s="117">
        <f>(((SUM(U87:U92))/2)*U16)+Bikestations!S40</f>
        <v>74140.440924761715</v>
      </c>
      <c r="V93" s="117">
        <f>(((SUM(V87:V92))/2)*V16)+Bikestations!T40</f>
        <v>80147.506686608118</v>
      </c>
      <c r="W93" s="117">
        <f>(((SUM(W87:W92))/2)*W16)+Bikestations!U40</f>
        <v>86632.907357000789</v>
      </c>
      <c r="X93" s="117">
        <f>(((SUM(X87:X92))/2)*X16)+Bikestations!V40</f>
        <v>93634.410100055582</v>
      </c>
      <c r="Y93" s="117">
        <f>(((SUM(Y87:Y92))/2)*Y16)+Bikestations!W40</f>
        <v>101192.74633766118</v>
      </c>
    </row>
    <row r="94" spans="1:26" s="176" customFormat="1" ht="12">
      <c r="A94" s="173"/>
      <c r="B94" s="174" t="s">
        <v>292</v>
      </c>
      <c r="C94" s="173"/>
      <c r="D94" s="173"/>
      <c r="E94" s="186">
        <f>SUM(F94:Y94)*365</f>
        <v>252344441.55716574</v>
      </c>
      <c r="F94" s="175">
        <f t="shared" ref="F94" si="34">F46*F93</f>
        <v>225.85680611742831</v>
      </c>
      <c r="G94" s="175">
        <f t="shared" ref="G94:Y94" si="35">G46*G93</f>
        <v>22474.62442206205</v>
      </c>
      <c r="H94" s="175">
        <f t="shared" si="35"/>
        <v>23660.22521598552</v>
      </c>
      <c r="I94" s="175">
        <f t="shared" si="35"/>
        <v>24876.026723274215</v>
      </c>
      <c r="J94" s="175">
        <f t="shared" si="35"/>
        <v>26149.58876098289</v>
      </c>
      <c r="K94" s="175">
        <f t="shared" si="35"/>
        <v>27483.661780617116</v>
      </c>
      <c r="L94" s="175">
        <f t="shared" si="35"/>
        <v>28881.122748042944</v>
      </c>
      <c r="M94" s="175">
        <f t="shared" si="35"/>
        <v>30344.981078748555</v>
      </c>
      <c r="N94" s="175">
        <f t="shared" si="35"/>
        <v>31878.38484777866</v>
      </c>
      <c r="O94" s="175">
        <f t="shared" si="35"/>
        <v>33484.627287254618</v>
      </c>
      <c r="P94" s="175">
        <f t="shared" si="35"/>
        <v>35167.153584999294</v>
      </c>
      <c r="Q94" s="175">
        <f t="shared" si="35"/>
        <v>36929.56799842036</v>
      </c>
      <c r="R94" s="175">
        <f t="shared" si="35"/>
        <v>38775.641298471455</v>
      </c>
      <c r="S94" s="175">
        <f t="shared" si="35"/>
        <v>40709.318559206804</v>
      </c>
      <c r="T94" s="175">
        <f t="shared" si="35"/>
        <v>42734.727309175098</v>
      </c>
      <c r="U94" s="175">
        <f t="shared" si="35"/>
        <v>44856.186061663553</v>
      </c>
      <c r="V94" s="175">
        <f t="shared" si="35"/>
        <v>47078.213241603567</v>
      </c>
      <c r="W94" s="175">
        <f t="shared" si="35"/>
        <v>49405.536527789562</v>
      </c>
      <c r="X94" s="175">
        <f t="shared" si="35"/>
        <v>51843.102629940855</v>
      </c>
      <c r="Y94" s="175">
        <f t="shared" si="35"/>
        <v>54396.087521059264</v>
      </c>
      <c r="Z94" s="175"/>
    </row>
    <row r="95" spans="1:26" s="176" customFormat="1" ht="12">
      <c r="A95" s="173"/>
      <c r="B95" s="174" t="s">
        <v>293</v>
      </c>
      <c r="C95" s="173"/>
      <c r="D95" s="173"/>
      <c r="E95" s="186">
        <f>SUM(F95:Y95)*365</f>
        <v>154439879.30791718</v>
      </c>
      <c r="F95" s="175">
        <f t="shared" ref="F95" si="36">F48*F93</f>
        <v>209.2859512708356</v>
      </c>
      <c r="G95" s="175">
        <f t="shared" ref="G95:Y95" si="37">G48*G93</f>
        <v>20047.15664743735</v>
      </c>
      <c r="H95" s="175">
        <f t="shared" si="37"/>
        <v>20315.740759064294</v>
      </c>
      <c r="I95" s="175">
        <f t="shared" si="37"/>
        <v>20561.190165508502</v>
      </c>
      <c r="J95" s="175">
        <f t="shared" si="37"/>
        <v>20805.853946293893</v>
      </c>
      <c r="K95" s="175">
        <f t="shared" si="37"/>
        <v>21049.836385138657</v>
      </c>
      <c r="L95" s="175">
        <f t="shared" si="37"/>
        <v>21293.235065878045</v>
      </c>
      <c r="M95" s="175">
        <f t="shared" si="37"/>
        <v>21536.14141008662</v>
      </c>
      <c r="N95" s="175">
        <f t="shared" si="37"/>
        <v>21778.64117329273</v>
      </c>
      <c r="O95" s="175">
        <f t="shared" si="37"/>
        <v>22020.814902899747</v>
      </c>
      <c r="P95" s="175">
        <f t="shared" si="37"/>
        <v>22262.738360700158</v>
      </c>
      <c r="Q95" s="175">
        <f t="shared" si="37"/>
        <v>22504.482912656047</v>
      </c>
      <c r="R95" s="175">
        <f t="shared" si="37"/>
        <v>22746.115888423599</v>
      </c>
      <c r="S95" s="175">
        <f t="shared" si="37"/>
        <v>22987.700912915654</v>
      </c>
      <c r="T95" s="175">
        <f t="shared" si="37"/>
        <v>23229.298212027923</v>
      </c>
      <c r="U95" s="175">
        <f t="shared" si="37"/>
        <v>23470.96489449681</v>
      </c>
      <c r="V95" s="175">
        <f t="shared" si="37"/>
        <v>23712.755211711359</v>
      </c>
      <c r="W95" s="175">
        <f t="shared" si="37"/>
        <v>23954.720797166781</v>
      </c>
      <c r="X95" s="175">
        <f t="shared" si="37"/>
        <v>24196.910887121201</v>
      </c>
      <c r="Y95" s="175">
        <f t="shared" si="37"/>
        <v>24439.372523902024</v>
      </c>
      <c r="Z95" s="175"/>
    </row>
    <row r="96" spans="1:26" s="64" customFormat="1" ht="11.4">
      <c r="C96" s="51"/>
      <c r="D96" s="51"/>
      <c r="E96" s="140"/>
      <c r="F96" s="51"/>
      <c r="G96" s="68"/>
    </row>
    <row r="97" spans="1:26" s="64" customFormat="1" ht="12">
      <c r="A97" s="51"/>
      <c r="B97" s="79" t="s">
        <v>126</v>
      </c>
      <c r="C97" s="51"/>
      <c r="D97" s="51"/>
      <c r="E97" s="140"/>
      <c r="F97" s="51"/>
      <c r="G97" s="68"/>
    </row>
    <row r="98" spans="1:26" s="7" customFormat="1" ht="12">
      <c r="A98" s="69"/>
      <c r="B98" s="7" t="s">
        <v>131</v>
      </c>
      <c r="C98" s="69"/>
      <c r="D98" s="69"/>
      <c r="E98" s="143">
        <f>SUM(F98:Y98)*365</f>
        <v>57799471.607175358</v>
      </c>
      <c r="F98" s="110">
        <f>((('Other Mode Assumptions'!C39+'Other Mode Assumptions'!C40)-('Bike Operating Assumptions'!D34+'Bike Operating Assumptions'!D21))*'Bike Sharing CBA'!F72)/2</f>
        <v>35.890325861353269</v>
      </c>
      <c r="G98" s="110">
        <f>((('Other Mode Assumptions'!D39+'Other Mode Assumptions'!D40)-('Bike Operating Assumptions'!E34+'Bike Operating Assumptions'!E21))*'Bike Sharing CBA'!G72)/2</f>
        <v>3734.6139731865492</v>
      </c>
      <c r="H98" s="110">
        <f>((('Other Mode Assumptions'!E39+'Other Mode Assumptions'!E40)-('Bike Operating Assumptions'!F34+'Bike Operating Assumptions'!F21))*'Bike Sharing CBA'!H72)/2</f>
        <v>4046.3835864638149</v>
      </c>
      <c r="I98" s="110">
        <f>((('Other Mode Assumptions'!F39+'Other Mode Assumptions'!F40)-('Bike Operating Assumptions'!G34+'Bike Operating Assumptions'!G21))*'Bike Sharing CBA'!I72)/2</f>
        <v>4383.1846058987794</v>
      </c>
      <c r="J98" s="110">
        <f>((('Other Mode Assumptions'!G39+'Other Mode Assumptions'!G40)-('Bike Operating Assumptions'!H34+'Bike Operating Assumptions'!H21))*'Bike Sharing CBA'!J72)/2</f>
        <v>4746.9874723891635</v>
      </c>
      <c r="K98" s="110">
        <f>((('Other Mode Assumptions'!H39+'Other Mode Assumptions'!H40)-('Bike Operating Assumptions'!I34+'Bike Operating Assumptions'!I21))*'Bike Sharing CBA'!K72)/2</f>
        <v>5139.9159326596018</v>
      </c>
      <c r="L98" s="110">
        <f>((('Other Mode Assumptions'!I39+'Other Mode Assumptions'!I40)-('Bike Operating Assumptions'!J34+'Bike Operating Assumptions'!J21))*'Bike Sharing CBA'!L72)/2</f>
        <v>5564.2588831504681</v>
      </c>
      <c r="M98" s="110">
        <f>((('Other Mode Assumptions'!J39+'Other Mode Assumptions'!J40)-('Bike Operating Assumptions'!K34+'Bike Operating Assumptions'!K21))*'Bike Sharing CBA'!M72)/2</f>
        <v>6022.483124718794</v>
      </c>
      <c r="N98" s="110">
        <f>((('Other Mode Assumptions'!K39+'Other Mode Assumptions'!K40)-('Bike Operating Assumptions'!L34+'Bike Operating Assumptions'!L21))*'Bike Sharing CBA'!N72)/2</f>
        <v>6517.2470979961499</v>
      </c>
      <c r="O98" s="110">
        <f>((('Other Mode Assumptions'!L39+'Other Mode Assumptions'!L40)-('Bike Operating Assumptions'!M34+'Bike Operating Assumptions'!M21))*'Bike Sharing CBA'!O72)/2</f>
        <v>7051.4156745934379</v>
      </c>
      <c r="P98" s="110">
        <f>((('Other Mode Assumptions'!M39+'Other Mode Assumptions'!M40)-('Bike Operating Assumptions'!N34+'Bike Operating Assumptions'!N21))*'Bike Sharing CBA'!P72)/2</f>
        <v>7628.076085096217</v>
      </c>
      <c r="Q98" s="110">
        <f>((('Other Mode Assumptions'!N39+'Other Mode Assumptions'!N40)-('Bike Operating Assumptions'!O34+'Bike Operating Assumptions'!O21))*'Bike Sharing CBA'!Q72)/2</f>
        <v>8250.5550709876698</v>
      </c>
      <c r="R98" s="110">
        <f>((('Other Mode Assumptions'!O39+'Other Mode Assumptions'!O40)-('Bike Operating Assumptions'!P34+'Bike Operating Assumptions'!P21))*'Bike Sharing CBA'!R72)/2</f>
        <v>8922.4373543032307</v>
      </c>
      <c r="S98" s="110">
        <f>((('Other Mode Assumptions'!P39+'Other Mode Assumptions'!P40)-('Bike Operating Assumptions'!Q34+'Bike Operating Assumptions'!Q21))*'Bike Sharing CBA'!S72)/2</f>
        <v>9647.5855259972941</v>
      </c>
      <c r="T98" s="110">
        <f>((('Other Mode Assumptions'!Q39+'Other Mode Assumptions'!Q40)-('Bike Operating Assumptions'!R34+'Bike Operating Assumptions'!R21))*'Bike Sharing CBA'!T72)/2</f>
        <v>10430.161461727343</v>
      </c>
      <c r="U98" s="110">
        <f>((('Other Mode Assumptions'!R39+'Other Mode Assumptions'!R40)-('Bike Operating Assumptions'!S34+'Bike Operating Assumptions'!S21))*'Bike Sharing CBA'!U72)/2</f>
        <v>11274.649382076052</v>
      </c>
      <c r="V98" s="110">
        <f>((('Other Mode Assumptions'!S39+'Other Mode Assumptions'!S40)-('Bike Operating Assumptions'!T34+'Bike Operating Assumptions'!T21))*'Bike Sharing CBA'!V72)/2</f>
        <v>12185.880683182555</v>
      </c>
      <c r="W98" s="110">
        <f>((('Other Mode Assumptions'!T39+'Other Mode Assumptions'!T40)-('Bike Operating Assumptions'!U34+'Bike Operating Assumptions'!U21))*'Bike Sharing CBA'!W72)/2</f>
        <v>13169.060673388574</v>
      </c>
      <c r="X98" s="110">
        <f>((('Other Mode Assumptions'!U39+'Other Mode Assumptions'!U40)-('Bike Operating Assumptions'!V34+'Bike Operating Assumptions'!V21))*'Bike Sharing CBA'!X72)/2</f>
        <v>14229.797361875862</v>
      </c>
      <c r="Y98" s="110">
        <f>((('Other Mode Assumptions'!V39+'Other Mode Assumptions'!V40)-('Bike Operating Assumptions'!W34+'Bike Operating Assumptions'!W21))*'Bike Sharing CBA'!Y72)/2</f>
        <v>15374.132456434359</v>
      </c>
    </row>
    <row r="99" spans="1:26" s="176" customFormat="1" ht="12">
      <c r="A99" s="173"/>
      <c r="B99" s="174" t="s">
        <v>292</v>
      </c>
      <c r="C99" s="173"/>
      <c r="D99" s="173"/>
      <c r="E99" s="186">
        <f>SUM(F99:Y99)*365</f>
        <v>38370969.685978219</v>
      </c>
      <c r="F99" s="175">
        <f t="shared" ref="F99" si="38">F46*F98</f>
        <v>33.830074334388982</v>
      </c>
      <c r="G99" s="175">
        <f t="shared" ref="G99:Y99" si="39">G46*G98</f>
        <v>3417.7008284654348</v>
      </c>
      <c r="H99" s="175">
        <f t="shared" si="39"/>
        <v>3595.1594074717332</v>
      </c>
      <c r="I99" s="175">
        <f t="shared" si="39"/>
        <v>3780.9735446257278</v>
      </c>
      <c r="J99" s="175">
        <f t="shared" si="39"/>
        <v>3975.5272748004581</v>
      </c>
      <c r="K99" s="175">
        <f t="shared" si="39"/>
        <v>4179.2220138639796</v>
      </c>
      <c r="L99" s="175">
        <f t="shared" si="39"/>
        <v>4392.477344472326</v>
      </c>
      <c r="M99" s="175">
        <f t="shared" si="39"/>
        <v>4615.7318370416142</v>
      </c>
      <c r="N99" s="175">
        <f t="shared" si="39"/>
        <v>4849.4439074972761</v>
      </c>
      <c r="O99" s="175">
        <f t="shared" si="39"/>
        <v>5094.0927134683143</v>
      </c>
      <c r="P99" s="175">
        <f t="shared" si="39"/>
        <v>5350.1790906676688</v>
      </c>
      <c r="Q99" s="175">
        <f t="shared" si="39"/>
        <v>5618.226531276563</v>
      </c>
      <c r="R99" s="175">
        <f t="shared" si="39"/>
        <v>5898.7822062310379</v>
      </c>
      <c r="S99" s="175">
        <f t="shared" si="39"/>
        <v>6192.4180333930099</v>
      </c>
      <c r="T99" s="175">
        <f t="shared" si="39"/>
        <v>6499.731793676222</v>
      </c>
      <c r="U99" s="175">
        <f t="shared" si="39"/>
        <v>6821.348297289599</v>
      </c>
      <c r="V99" s="175">
        <f t="shared" si="39"/>
        <v>7157.9206023568559</v>
      </c>
      <c r="W99" s="175">
        <f t="shared" si="39"/>
        <v>7510.131288271943</v>
      </c>
      <c r="X99" s="175">
        <f t="shared" si="39"/>
        <v>7878.6937862553377</v>
      </c>
      <c r="Y99" s="175">
        <f t="shared" si="39"/>
        <v>8264.353769686315</v>
      </c>
      <c r="Z99" s="175"/>
    </row>
    <row r="100" spans="1:26" s="176" customFormat="1" ht="12">
      <c r="A100" s="173"/>
      <c r="B100" s="174" t="s">
        <v>293</v>
      </c>
      <c r="C100" s="173"/>
      <c r="D100" s="173"/>
      <c r="E100" s="186">
        <f>SUM(F100:Y100)*365</f>
        <v>23484249.289548215</v>
      </c>
      <c r="F100" s="175">
        <f t="shared" ref="F100" si="40">F48*F98</f>
        <v>31.348000577651554</v>
      </c>
      <c r="G100" s="175">
        <f t="shared" ref="G100:Y100" si="41">G48*G98</f>
        <v>3048.5574573190888</v>
      </c>
      <c r="H100" s="175">
        <f t="shared" si="41"/>
        <v>3086.9666642209377</v>
      </c>
      <c r="I100" s="175">
        <f t="shared" si="41"/>
        <v>3125.1500461313994</v>
      </c>
      <c r="J100" s="175">
        <f t="shared" si="41"/>
        <v>3163.1181887809212</v>
      </c>
      <c r="K100" s="175">
        <f t="shared" si="41"/>
        <v>3200.8813203722643</v>
      </c>
      <c r="L100" s="175">
        <f t="shared" si="41"/>
        <v>3238.4493301504644</v>
      </c>
      <c r="M100" s="175">
        <f t="shared" si="41"/>
        <v>3275.8317856781682</v>
      </c>
      <c r="N100" s="175">
        <f t="shared" si="41"/>
        <v>3313.0379489333868</v>
      </c>
      <c r="O100" s="175">
        <f t="shared" si="41"/>
        <v>3350.0767913338573</v>
      </c>
      <c r="P100" s="175">
        <f t="shared" si="41"/>
        <v>3386.957007780969</v>
      </c>
      <c r="Q100" s="175">
        <f t="shared" si="41"/>
        <v>3423.6870298063723</v>
      </c>
      <c r="R100" s="175">
        <f t="shared" si="41"/>
        <v>3460.2750378957985</v>
      </c>
      <c r="S100" s="175">
        <f t="shared" si="41"/>
        <v>3496.7289730569601</v>
      </c>
      <c r="T100" s="175">
        <f t="shared" si="41"/>
        <v>3533.0565476917868</v>
      </c>
      <c r="U100" s="175">
        <f t="shared" si="41"/>
        <v>3569.2652558272825</v>
      </c>
      <c r="V100" s="175">
        <f t="shared" si="41"/>
        <v>3605.3623827541041</v>
      </c>
      <c r="W100" s="175">
        <f t="shared" si="41"/>
        <v>3641.3550141172782</v>
      </c>
      <c r="X100" s="175">
        <f t="shared" si="41"/>
        <v>3677.2500444993798</v>
      </c>
      <c r="Y100" s="175">
        <f t="shared" si="41"/>
        <v>3713.0541855328047</v>
      </c>
      <c r="Z100" s="175"/>
    </row>
    <row r="101" spans="1:26" s="64" customFormat="1" ht="11.4">
      <c r="A101" s="51"/>
      <c r="C101" s="51"/>
      <c r="D101" s="51"/>
      <c r="E101" s="140"/>
      <c r="F101" s="51"/>
      <c r="G101" s="68"/>
    </row>
    <row r="102" spans="1:26" s="64" customFormat="1" ht="12">
      <c r="A102" s="51"/>
      <c r="B102" s="7" t="s">
        <v>134</v>
      </c>
      <c r="C102" s="51"/>
      <c r="D102" s="51"/>
      <c r="E102" s="140"/>
      <c r="F102" s="51"/>
      <c r="G102" s="68"/>
    </row>
    <row r="103" spans="1:26" s="7" customFormat="1" ht="12">
      <c r="A103" s="69"/>
      <c r="B103" s="7" t="s">
        <v>135</v>
      </c>
      <c r="C103" s="69"/>
      <c r="D103" s="69"/>
      <c r="E103" s="143">
        <f>SUM(F103:Y103)*365</f>
        <v>16056953.803997224</v>
      </c>
      <c r="F103" s="110">
        <f>F62*0.054</f>
        <v>10.031472000000001</v>
      </c>
      <c r="G103" s="110">
        <f t="shared" ref="G103:Y103" si="42">G62*0.054</f>
        <v>1066.1841459</v>
      </c>
      <c r="H103" s="110">
        <f t="shared" si="42"/>
        <v>1161.1576669201875</v>
      </c>
      <c r="I103" s="110">
        <f t="shared" si="42"/>
        <v>1252.0090094138648</v>
      </c>
      <c r="J103" s="110">
        <f t="shared" si="42"/>
        <v>1350.1142315718546</v>
      </c>
      <c r="K103" s="110">
        <f t="shared" si="42"/>
        <v>1456.042968999019</v>
      </c>
      <c r="L103" s="110">
        <f t="shared" si="42"/>
        <v>1570.4091287086642</v>
      </c>
      <c r="M103" s="110">
        <f t="shared" si="42"/>
        <v>1693.8743071750453</v>
      </c>
      <c r="N103" s="110">
        <f t="shared" si="42"/>
        <v>1827.1514711567318</v>
      </c>
      <c r="O103" s="110">
        <f t="shared" si="42"/>
        <v>1971.0089214356633</v>
      </c>
      <c r="P103" s="110">
        <f t="shared" si="42"/>
        <v>2126.2745611582773</v>
      </c>
      <c r="Q103" s="110">
        <f t="shared" si="42"/>
        <v>2293.8404921244378</v>
      </c>
      <c r="R103" s="110">
        <f t="shared" si="42"/>
        <v>2474.6679641560827</v>
      </c>
      <c r="S103" s="110">
        <f t="shared" si="42"/>
        <v>2669.792704600191</v>
      </c>
      <c r="T103" s="110">
        <f t="shared" si="42"/>
        <v>2880.3306570902582</v>
      </c>
      <c r="U103" s="110">
        <f t="shared" si="42"/>
        <v>3107.4841609182618</v>
      </c>
      <c r="V103" s="110">
        <f t="shared" si="42"/>
        <v>3352.5486047670338</v>
      </c>
      <c r="W103" s="110">
        <f t="shared" si="42"/>
        <v>3616.9195911341994</v>
      </c>
      <c r="X103" s="110">
        <f t="shared" si="42"/>
        <v>3902.1006505572041</v>
      </c>
      <c r="Y103" s="110">
        <f t="shared" si="42"/>
        <v>4209.7115477396637</v>
      </c>
    </row>
    <row r="104" spans="1:26" s="176" customFormat="1" ht="12">
      <c r="A104" s="173"/>
      <c r="B104" s="174" t="s">
        <v>292</v>
      </c>
      <c r="C104" s="173"/>
      <c r="D104" s="173"/>
      <c r="E104" s="186">
        <f>SUM(F104:Y104)*365</f>
        <v>10682160.524934635</v>
      </c>
      <c r="F104" s="175">
        <f>F46*F103</f>
        <v>9.455624469789802</v>
      </c>
      <c r="G104" s="175">
        <f t="shared" ref="G104:Y104" si="43">G46*G103</f>
        <v>975.70952845495719</v>
      </c>
      <c r="H104" s="175">
        <f t="shared" si="43"/>
        <v>1031.6735476465863</v>
      </c>
      <c r="I104" s="175">
        <f t="shared" si="43"/>
        <v>1079.9939696485153</v>
      </c>
      <c r="J104" s="175">
        <f t="shared" si="43"/>
        <v>1130.699413665978</v>
      </c>
      <c r="K104" s="175">
        <f t="shared" si="43"/>
        <v>1183.8961782442764</v>
      </c>
      <c r="L104" s="175">
        <f t="shared" si="43"/>
        <v>1239.6954678535214</v>
      </c>
      <c r="M104" s="175">
        <f t="shared" si="43"/>
        <v>1298.2136115059232</v>
      </c>
      <c r="N104" s="175">
        <f t="shared" si="43"/>
        <v>1359.5722912823232</v>
      </c>
      <c r="O104" s="175">
        <f t="shared" si="43"/>
        <v>1423.8987812111016</v>
      </c>
      <c r="P104" s="175">
        <f t="shared" si="43"/>
        <v>1491.3261969625594</v>
      </c>
      <c r="Q104" s="175">
        <f t="shared" si="43"/>
        <v>1561.9937568427465</v>
      </c>
      <c r="R104" s="175">
        <f t="shared" si="43"/>
        <v>1636.0470545924989</v>
      </c>
      <c r="S104" s="175">
        <f t="shared" si="43"/>
        <v>1713.6383445202282</v>
      </c>
      <c r="T104" s="175">
        <f t="shared" si="43"/>
        <v>1794.9268395207969</v>
      </c>
      <c r="U104" s="175">
        <f t="shared" si="43"/>
        <v>1880.0790225576877</v>
      </c>
      <c r="V104" s="175">
        <f t="shared" si="43"/>
        <v>1969.2689722116479</v>
      </c>
      <c r="W104" s="175">
        <f t="shared" si="43"/>
        <v>2062.678702926135</v>
      </c>
      <c r="X104" s="175">
        <f t="shared" si="43"/>
        <v>2160.4985206082483</v>
      </c>
      <c r="Y104" s="175">
        <f t="shared" si="43"/>
        <v>2262.9273942734776</v>
      </c>
      <c r="Z104" s="175"/>
    </row>
    <row r="105" spans="1:26" s="176" customFormat="1" ht="12">
      <c r="A105" s="173"/>
      <c r="B105" s="174" t="s">
        <v>293</v>
      </c>
      <c r="C105" s="173"/>
      <c r="D105" s="173"/>
      <c r="E105" s="186">
        <f>SUM(F105:Y105)*365</f>
        <v>6557006.6616228903</v>
      </c>
      <c r="F105" s="175">
        <f t="shared" ref="F105" si="44">F48*F103</f>
        <v>8.7618761463883317</v>
      </c>
      <c r="G105" s="175">
        <f t="shared" ref="G105:Y105" si="45">G48*G103</f>
        <v>870.32385467285621</v>
      </c>
      <c r="H105" s="175">
        <f t="shared" si="45"/>
        <v>885.84162452568603</v>
      </c>
      <c r="I105" s="175">
        <f t="shared" si="45"/>
        <v>892.66512030112358</v>
      </c>
      <c r="J105" s="175">
        <f t="shared" si="45"/>
        <v>899.63811947191152</v>
      </c>
      <c r="K105" s="175">
        <f t="shared" si="45"/>
        <v>906.75038311701269</v>
      </c>
      <c r="L105" s="175">
        <f t="shared" si="45"/>
        <v>913.99241080049183</v>
      </c>
      <c r="M105" s="175">
        <f t="shared" si="45"/>
        <v>921.35539136885325</v>
      </c>
      <c r="N105" s="175">
        <f t="shared" si="45"/>
        <v>928.83115698543281</v>
      </c>
      <c r="O105" s="175">
        <f t="shared" si="45"/>
        <v>936.4121401897504</v>
      </c>
      <c r="P105" s="175">
        <f t="shared" si="45"/>
        <v>944.09133378362128</v>
      </c>
      <c r="Q105" s="175">
        <f t="shared" si="45"/>
        <v>951.86225335878873</v>
      </c>
      <c r="R105" s="175">
        <f t="shared" si="45"/>
        <v>959.7189022929723</v>
      </c>
      <c r="S105" s="175">
        <f t="shared" si="45"/>
        <v>967.65573905254939</v>
      </c>
      <c r="T105" s="175">
        <f t="shared" si="45"/>
        <v>975.6676466506791</v>
      </c>
      <c r="U105" s="175">
        <f t="shared" si="45"/>
        <v>983.7499041195756</v>
      </c>
      <c r="V105" s="175">
        <f t="shared" si="45"/>
        <v>991.89815986488463</v>
      </c>
      <c r="W105" s="175">
        <f t="shared" si="45"/>
        <v>1000.1084067787647</v>
      </c>
      <c r="X105" s="175">
        <f t="shared" si="45"/>
        <v>1008.376958996341</v>
      </c>
      <c r="Y105" s="175">
        <f t="shared" si="45"/>
        <v>1016.700430187768</v>
      </c>
      <c r="Z105" s="175"/>
    </row>
    <row r="106" spans="1:26" s="64" customFormat="1" ht="11.4">
      <c r="A106" s="51"/>
      <c r="C106" s="51"/>
      <c r="D106" s="51"/>
      <c r="E106" s="140"/>
      <c r="F106" s="51"/>
      <c r="G106" s="68"/>
    </row>
    <row r="107" spans="1:26" s="64" customFormat="1" ht="12">
      <c r="A107" s="51"/>
      <c r="B107" s="52" t="s">
        <v>113</v>
      </c>
      <c r="C107" s="51"/>
      <c r="D107" s="51"/>
      <c r="E107" s="140"/>
      <c r="F107" s="51"/>
      <c r="G107" s="68"/>
      <c r="L107" s="72"/>
    </row>
    <row r="108" spans="1:26" s="64" customFormat="1" ht="12">
      <c r="A108" s="51"/>
      <c r="B108" s="103" t="s">
        <v>47</v>
      </c>
      <c r="C108" s="51"/>
      <c r="D108" s="51"/>
      <c r="E108" s="140"/>
      <c r="F108" s="51"/>
      <c r="G108" s="68"/>
      <c r="L108" s="72"/>
    </row>
    <row r="109" spans="1:26" s="64" customFormat="1" ht="11.4">
      <c r="A109" s="51"/>
      <c r="B109" s="54" t="s">
        <v>136</v>
      </c>
      <c r="C109" s="51"/>
      <c r="D109" s="51"/>
      <c r="E109" s="168">
        <f>SUM(F109:Y109)*365</f>
        <v>123.90590856902172</v>
      </c>
      <c r="F109" s="93">
        <f>((('Emissions Assumptions'!D9/907185)+('Emissions Assumptions'!D11/907185))*F61)+(('Emissions Assumptions'!D10/907185)*F62)</f>
        <v>1.3312448146739642E-4</v>
      </c>
      <c r="G109" s="93">
        <f>((('Emissions Assumptions'!E9/907185)+('Emissions Assumptions'!E11/907185))*G61)+(('Emissions Assumptions'!E10/907185)*G62)</f>
        <v>1.332206023975044E-2</v>
      </c>
      <c r="H109" s="93">
        <f>((('Emissions Assumptions'!F9/907185)+('Emissions Assumptions'!F11/907185))*H61)+(('Emissions Assumptions'!F10/907185)*H62)</f>
        <v>1.3752033332681095E-2</v>
      </c>
      <c r="I109" s="93">
        <f>((('Emissions Assumptions'!G9/907185)+('Emissions Assumptions'!G11/907185))*I61)+(('Emissions Assumptions'!G10/907185)*I62)</f>
        <v>1.4049844468589397E-2</v>
      </c>
      <c r="J109" s="93">
        <f>((('Emissions Assumptions'!H9/907185)+('Emissions Assumptions'!H11/907185))*J61)+(('Emissions Assumptions'!H10/907185)*J62)</f>
        <v>1.430908377833447E-2</v>
      </c>
      <c r="K109" s="93">
        <f>((('Emissions Assumptions'!I9/907185)+('Emissions Assumptions'!I11/907185))*K61)+(('Emissions Assumptions'!I10/907185)*K62)</f>
        <v>1.4521563222381999E-2</v>
      </c>
      <c r="L109" s="93">
        <f>((('Emissions Assumptions'!J9/907185)+('Emissions Assumptions'!J11/907185))*L61)+(('Emissions Assumptions'!J10/907185)*L62)</f>
        <v>1.4678054292085683E-2</v>
      </c>
      <c r="M109" s="93">
        <f>((('Emissions Assumptions'!K9/907185)+('Emissions Assumptions'!K11/907185))*M61)+(('Emissions Assumptions'!K10/907185)*M62)</f>
        <v>1.4768176416002848E-2</v>
      </c>
      <c r="N109" s="93">
        <f>((('Emissions Assumptions'!L9/907185)+('Emissions Assumptions'!L11/907185))*N61)+(('Emissions Assumptions'!L10/907185)*N62)</f>
        <v>1.4780274385213756E-2</v>
      </c>
      <c r="O109" s="93">
        <f>((('Emissions Assumptions'!M9/907185)+('Emissions Assumptions'!M11/907185))*O61)+(('Emissions Assumptions'!M10/907185)*O62)</f>
        <v>1.4701283771961494E-2</v>
      </c>
      <c r="P109" s="93">
        <f>((('Emissions Assumptions'!N9/907185)+('Emissions Assumptions'!N11/907185))*P61)+(('Emissions Assumptions'!N10/907185)*P62)</f>
        <v>1.5657096050907576E-2</v>
      </c>
      <c r="Q109" s="93">
        <f>((('Emissions Assumptions'!O9/907185)+('Emissions Assumptions'!O11/907185))*Q61)+(('Emissions Assumptions'!O10/907185)*Q62)</f>
        <v>1.6671868843081521E-2</v>
      </c>
      <c r="R109" s="93">
        <f>((('Emissions Assumptions'!P9/907185)+('Emissions Assumptions'!P11/907185))*R61)+(('Emissions Assumptions'!P10/907185)*R62)</f>
        <v>1.7748853517317482E-2</v>
      </c>
      <c r="S109" s="93">
        <f>((('Emissions Assumptions'!Q9/907185)+('Emissions Assumptions'!Q11/907185))*S61)+(('Emissions Assumptions'!Q10/907185)*S62)</f>
        <v>1.8891447563418321E-2</v>
      </c>
      <c r="T109" s="93">
        <f>((('Emissions Assumptions'!R9/907185)+('Emissions Assumptions'!R11/907185))*T61)+(('Emissions Assumptions'!R10/907185)*T62)</f>
        <v>2.0103197684712824E-2</v>
      </c>
      <c r="U109" s="93">
        <f>((('Emissions Assumptions'!S9/907185)+('Emissions Assumptions'!S11/907185))*U61)+(('Emissions Assumptions'!S10/907185)*U62)</f>
        <v>2.138780250130598E-2</v>
      </c>
      <c r="V109" s="93">
        <f>((('Emissions Assumptions'!T9/907185)+('Emissions Assumptions'!T11/907185))*V61)+(('Emissions Assumptions'!T10/907185)*V62)</f>
        <v>2.2749114786257976E-2</v>
      </c>
      <c r="W109" s="93">
        <f>((('Emissions Assumptions'!U9/907185)+('Emissions Assumptions'!U11/907185))*W61)+(('Emissions Assumptions'!U10/907185)*W62)</f>
        <v>2.419114314731937E-2</v>
      </c>
      <c r="X109" s="93">
        <f>((('Emissions Assumptions'!V9/907185)+('Emissions Assumptions'!V11/907185))*X61)+(('Emissions Assumptions'!V10/907185)*X62)</f>
        <v>2.5718053056227607E-2</v>
      </c>
      <c r="Y109" s="93">
        <f>((('Emissions Assumptions'!W9/907185)+('Emissions Assumptions'!W11/907185))*Y61)+(('Emissions Assumptions'!W10/907185)*Y62)</f>
        <v>2.7334167115836788E-2</v>
      </c>
    </row>
    <row r="110" spans="1:26" s="64" customFormat="1" ht="11.4">
      <c r="A110" s="51"/>
      <c r="B110" s="54" t="s">
        <v>137</v>
      </c>
      <c r="C110" s="51"/>
      <c r="D110" s="51"/>
      <c r="E110" s="168">
        <f>SUM(F110:Y110)*365</f>
        <v>83.867511725535309</v>
      </c>
      <c r="F110" s="93">
        <f>(('Emissions Assumptions'!D4/907185)*F61)+(('Emissions Assumptions'!D5/907185)*F62)</f>
        <v>1.1165641495395096E-4</v>
      </c>
      <c r="G110" s="93">
        <f>(('Emissions Assumptions'!E4/907185)*G61)+(('Emissions Assumptions'!E5/907185)*G62)</f>
        <v>1.1078870003384096E-2</v>
      </c>
      <c r="H110" s="93">
        <f>(('Emissions Assumptions'!F4/907185)*H61)+(('Emissions Assumptions'!F5/907185)*H62)</f>
        <v>1.1261492144204417E-2</v>
      </c>
      <c r="I110" s="93">
        <f>(('Emissions Assumptions'!G4/907185)*I61)+(('Emissions Assumptions'!G5/907185)*I62)</f>
        <v>1.1289314800345958E-2</v>
      </c>
      <c r="J110" s="93">
        <f>(('Emissions Assumptions'!H4/907185)*J61)+(('Emissions Assumptions'!H5/907185)*J62)</f>
        <v>1.1252684787450338E-2</v>
      </c>
      <c r="K110" s="93">
        <f>(('Emissions Assumptions'!I4/907185)*K61)+(('Emissions Assumptions'!I5/907185)*K62)</f>
        <v>1.114098540659988E-2</v>
      </c>
      <c r="L110" s="93">
        <f>(('Emissions Assumptions'!J4/907185)*L61)+(('Emissions Assumptions'!J5/907185)*L62)</f>
        <v>1.0942339697102892E-2</v>
      </c>
      <c r="M110" s="93">
        <f>(('Emissions Assumptions'!K4/907185)*M61)+(('Emissions Assumptions'!K5/907185)*M62)</f>
        <v>1.0643479471994094E-2</v>
      </c>
      <c r="N110" s="93">
        <f>(('Emissions Assumptions'!L4/907185)*N61)+(('Emissions Assumptions'!L5/907185)*N62)</f>
        <v>1.0229601698861215E-2</v>
      </c>
      <c r="O110" s="93">
        <f>(('Emissions Assumptions'!M4/907185)*O61)+(('Emissions Assumptions'!M5/907185)*O62)</f>
        <v>9.6842110578838625E-3</v>
      </c>
      <c r="P110" s="93">
        <f>(('Emissions Assumptions'!N4/907185)*P61)+(('Emissions Assumptions'!N5/907185)*P62)</f>
        <v>1.0239535490186172E-2</v>
      </c>
      <c r="Q110" s="93">
        <f>(('Emissions Assumptions'!O4/907185)*Q61)+(('Emissions Assumptions'!O5/907185)*Q62)</f>
        <v>1.0822248798861983E-2</v>
      </c>
      <c r="R110" s="93">
        <f>(('Emissions Assumptions'!P4/907185)*R61)+(('Emissions Assumptions'!P5/907185)*R62)</f>
        <v>1.1433142905011138E-2</v>
      </c>
      <c r="S110" s="93">
        <f>(('Emissions Assumptions'!Q4/907185)*S61)+(('Emissions Assumptions'!Q5/907185)*S62)</f>
        <v>1.2072965903703169E-2</v>
      </c>
      <c r="T110" s="93">
        <f>(('Emissions Assumptions'!R4/907185)*T61)+(('Emissions Assumptions'!R5/907185)*T62)</f>
        <v>1.2742410567577994E-2</v>
      </c>
      <c r="U110" s="93">
        <f>(('Emissions Assumptions'!S4/907185)*U61)+(('Emissions Assumptions'!S5/907185)*U62)</f>
        <v>1.3442101344647241E-2</v>
      </c>
      <c r="V110" s="93">
        <f>(('Emissions Assumptions'!T4/907185)*V61)+(('Emissions Assumptions'!T5/907185)*V62)</f>
        <v>1.4172579687287336E-2</v>
      </c>
      <c r="W110" s="93">
        <f>(('Emissions Assumptions'!U4/907185)*W61)+(('Emissions Assumptions'!U5/907185)*W62)</f>
        <v>1.4934287533308986E-2</v>
      </c>
      <c r="X110" s="93">
        <f>(('Emissions Assumptions'!V4/907185)*X61)+(('Emissions Assumptions'!V5/907185)*X62)</f>
        <v>1.5727548742372255E-2</v>
      </c>
      <c r="Y110" s="93">
        <f>(('Emissions Assumptions'!W4/907185)*Y61)+(('Emissions Assumptions'!W5/907185)*Y62)</f>
        <v>1.6552548271757034E-2</v>
      </c>
    </row>
    <row r="111" spans="1:26" s="64" customFormat="1" ht="11.4">
      <c r="A111" s="51"/>
      <c r="B111" s="54" t="s">
        <v>138</v>
      </c>
      <c r="C111" s="51"/>
      <c r="D111" s="51"/>
      <c r="E111" s="168">
        <f>SUM(F111:Y111)*365</f>
        <v>87.77351639743047</v>
      </c>
      <c r="F111" s="93">
        <f>(('Emissions Assumptions'!D14/907185)*F62)+(('Emissions Assumptions'!D18/907185)*F61)+(('Emissions Assumptions'!D19/907185)*F62)</f>
        <v>1.1630771187795213E-4</v>
      </c>
      <c r="G111" s="93">
        <f>(('Emissions Assumptions'!E14/907185)*G62)+(('Emissions Assumptions'!E18/907185)*G61)+(('Emissions Assumptions'!E19/907185)*G62)</f>
        <v>1.1541606893869499E-2</v>
      </c>
      <c r="H111" s="93">
        <f>(('Emissions Assumptions'!F14/907185)*H62)+(('Emissions Assumptions'!F18/907185)*H61)+(('Emissions Assumptions'!F19/907185)*H62)</f>
        <v>1.1733998554662884E-2</v>
      </c>
      <c r="I111" s="93">
        <f>(('Emissions Assumptions'!G14/907185)*I62)+(('Emissions Assumptions'!G18/907185)*I61)+(('Emissions Assumptions'!G19/907185)*I62)</f>
        <v>1.1765627710838467E-2</v>
      </c>
      <c r="J111" s="93">
        <f>(('Emissions Assumptions'!H14/907185)*J62)+(('Emissions Assumptions'!H18/907185)*J61)+(('Emissions Assumptions'!H19/907185)*J62)</f>
        <v>1.1730494554597718E-2</v>
      </c>
      <c r="K111" s="93">
        <f>(('Emissions Assumptions'!I14/907185)*K62)+(('Emissions Assumptions'!I18/907185)*K61)+(('Emissions Assumptions'!I19/907185)*K62)</f>
        <v>1.1617583953339596E-2</v>
      </c>
      <c r="L111" s="93">
        <f>(('Emissions Assumptions'!J14/907185)*L62)+(('Emissions Assumptions'!J18/907185)*L61)+(('Emissions Assumptions'!J19/907185)*L62)</f>
        <v>1.1414572544687883E-2</v>
      </c>
      <c r="M111" s="93">
        <f>(('Emissions Assumptions'!K14/907185)*M62)+(('Emissions Assumptions'!K18/907185)*M61)+(('Emissions Assumptions'!K19/907185)*M62)</f>
        <v>1.1107692753208156E-2</v>
      </c>
      <c r="N111" s="93">
        <f>(('Emissions Assumptions'!L14/907185)*N62)+(('Emissions Assumptions'!L18/907185)*N61)+(('Emissions Assumptions'!L19/907185)*N62)</f>
        <v>1.0681583665560157E-2</v>
      </c>
      <c r="O111" s="93">
        <f>(('Emissions Assumptions'!M14/907185)*O62)+(('Emissions Assumptions'!M18/907185)*O61)+(('Emissions Assumptions'!M19/907185)*O62)</f>
        <v>1.0119127550910037E-2</v>
      </c>
      <c r="P111" s="93">
        <f>(('Emissions Assumptions'!N14/907185)*P62)+(('Emissions Assumptions'!N18/907185)*P61)+(('Emissions Assumptions'!N19/907185)*P62)</f>
        <v>1.0705886901744359E-2</v>
      </c>
      <c r="Q111" s="93">
        <f>(('Emissions Assumptions'!O14/907185)*Q62)+(('Emissions Assumptions'!O18/907185)*Q61)+(('Emissions Assumptions'!O19/907185)*Q62)</f>
        <v>1.1322290520787828E-2</v>
      </c>
      <c r="R111" s="93">
        <f>(('Emissions Assumptions'!P14/907185)*R62)+(('Emissions Assumptions'!P18/907185)*R61)+(('Emissions Assumptions'!P19/907185)*R62)</f>
        <v>1.1969287620583885E-2</v>
      </c>
      <c r="S111" s="93">
        <f>(('Emissions Assumptions'!Q14/907185)*S62)+(('Emissions Assumptions'!Q18/907185)*S61)+(('Emissions Assumptions'!Q19/907185)*S62)</f>
        <v>1.2647794295329473E-2</v>
      </c>
      <c r="T111" s="93">
        <f>(('Emissions Assumptions'!R14/907185)*T62)+(('Emissions Assumptions'!R18/907185)*T61)+(('Emissions Assumptions'!R19/907185)*T62)</f>
        <v>1.3358682735354744E-2</v>
      </c>
      <c r="U111" s="93">
        <f>(('Emissions Assumptions'!S14/907185)*U62)+(('Emissions Assumptions'!S18/907185)*U61)+(('Emissions Assumptions'!S19/907185)*U62)</f>
        <v>1.4102768981619933E-2</v>
      </c>
      <c r="V111" s="93">
        <f>(('Emissions Assumptions'!T14/907185)*V62)+(('Emissions Assumptions'!T18/907185)*V61)+(('Emissions Assumptions'!T19/907185)*V62)</f>
        <v>1.4880799060059709E-2</v>
      </c>
      <c r="W111" s="93">
        <f>(('Emissions Assumptions'!U14/907185)*W62)+(('Emissions Assumptions'!U18/907185)*W61)+(('Emissions Assumptions'!U19/907185)*W62)</f>
        <v>1.5693433319664569E-2</v>
      </c>
      <c r="X111" s="93">
        <f>(('Emissions Assumptions'!V14/907185)*X62)+(('Emissions Assumptions'!V18/907185)*X61)+(('Emissions Assumptions'!V19/907185)*X62)</f>
        <v>1.654122878074836E-2</v>
      </c>
      <c r="Y111" s="93">
        <f>(('Emissions Assumptions'!W14/907185)*Y62)+(('Emissions Assumptions'!W18/907185)*Y61)+(('Emissions Assumptions'!W19/907185)*Y62)</f>
        <v>1.7424619280775301E-2</v>
      </c>
    </row>
    <row r="112" spans="1:26" s="64" customFormat="1" ht="11.4">
      <c r="A112" s="51"/>
      <c r="B112" s="54" t="s">
        <v>139</v>
      </c>
      <c r="C112" s="51"/>
      <c r="D112" s="51"/>
      <c r="E112" s="168">
        <f>SUM(F112:Y112)*365</f>
        <v>114794.6706620343</v>
      </c>
      <c r="F112" s="93">
        <f>('Emissions Assumptions'!D21/907185)*F62</f>
        <v>9.243615684920875E-2</v>
      </c>
      <c r="G112" s="93">
        <f>('Emissions Assumptions'!E21/907185)*G62</f>
        <v>9.6004842331017617</v>
      </c>
      <c r="H112" s="93">
        <f>('Emissions Assumptions'!F21/907185)*H62</f>
        <v>10.2117304148315</v>
      </c>
      <c r="I112" s="93">
        <f>('Emissions Assumptions'!G21/907185)*I62</f>
        <v>10.747684744477548</v>
      </c>
      <c r="J112" s="93">
        <f>('Emissions Assumptions'!H21/907185)*J62</f>
        <v>11.306211385688623</v>
      </c>
      <c r="K112" s="93">
        <f>('Emissions Assumptions'!I21/907185)*K62</f>
        <v>11.88738908029147</v>
      </c>
      <c r="L112" s="93">
        <f>('Emissions Assumptions'!J21/907185)*L62</f>
        <v>12.491170013935784</v>
      </c>
      <c r="M112" s="93">
        <f>('Emissions Assumptions'!K21/907185)*M62</f>
        <v>13.11735978099296</v>
      </c>
      <c r="N112" s="93">
        <f>('Emissions Assumptions'!L21/907185)*N62</f>
        <v>13.765595020592716</v>
      </c>
      <c r="O112" s="93">
        <f>('Emissions Assumptions'!M21/907185)*O62</f>
        <v>14.435318484899359</v>
      </c>
      <c r="P112" s="93">
        <f>('Emissions Assumptions'!N21/907185)*P62</f>
        <v>15.373929468309091</v>
      </c>
      <c r="Q112" s="93">
        <f>('Emissions Assumptions'!O21/907185)*Q62</f>
        <v>16.371334858521863</v>
      </c>
      <c r="R112" s="93">
        <f>('Emissions Assumptions'!P21/907185)*R62</f>
        <v>17.430860050207933</v>
      </c>
      <c r="S112" s="93">
        <f>('Emissions Assumptions'!Q21/907185)*S62</f>
        <v>18.555989081216776</v>
      </c>
      <c r="T112" s="93">
        <f>('Emissions Assumptions'!R21/907185)*T62</f>
        <v>19.750369213899837</v>
      </c>
      <c r="U112" s="93">
        <f>('Emissions Assumptions'!S21/907185)*U62</f>
        <v>21.017815281636398</v>
      </c>
      <c r="V112" s="93">
        <f>('Emissions Assumptions'!T21/907185)*V62</f>
        <v>22.362313737708988</v>
      </c>
      <c r="W112" s="93">
        <f>('Emissions Assumptions'!U21/907185)*W62</f>
        <v>23.788026335441703</v>
      </c>
      <c r="X112" s="93">
        <f>('Emissions Assumptions'!V21/907185)*X62</f>
        <v>25.299293359391115</v>
      </c>
      <c r="Y112" s="93">
        <f>('Emissions Assumptions'!W21/907185)*Y62</f>
        <v>26.900636317277446</v>
      </c>
    </row>
    <row r="113" spans="1:26" s="64" customFormat="1" ht="11.4">
      <c r="A113" s="51"/>
      <c r="B113" s="90" t="s">
        <v>161</v>
      </c>
      <c r="C113" s="51"/>
      <c r="D113" s="51"/>
      <c r="E113" s="140"/>
      <c r="F113" s="51"/>
      <c r="G113" s="68"/>
    </row>
    <row r="114" spans="1:26" s="64" customFormat="1" ht="12">
      <c r="A114" s="51"/>
      <c r="B114" s="54" t="s">
        <v>48</v>
      </c>
      <c r="C114" s="51"/>
      <c r="D114" s="51"/>
      <c r="E114" s="143">
        <f t="shared" ref="E114:E120" si="46">SUM(F114:Y114)*365</f>
        <v>210640.04456733691</v>
      </c>
      <c r="F114" s="67">
        <f>F109*'Emissions Assumptions'!D12</f>
        <v>0.22631161849457393</v>
      </c>
      <c r="G114" s="67">
        <f>G109*'Emissions Assumptions'!E12</f>
        <v>22.647502407575747</v>
      </c>
      <c r="H114" s="67">
        <f>H109*'Emissions Assumptions'!F12</f>
        <v>23.378456665557859</v>
      </c>
      <c r="I114" s="67">
        <f>I109*'Emissions Assumptions'!G12</f>
        <v>23.884735596601974</v>
      </c>
      <c r="J114" s="67">
        <f>J109*'Emissions Assumptions'!H12</f>
        <v>24.3254424231686</v>
      </c>
      <c r="K114" s="67">
        <f>K109*'Emissions Assumptions'!I12</f>
        <v>24.686657478049398</v>
      </c>
      <c r="L114" s="67">
        <f>L109*'Emissions Assumptions'!J12</f>
        <v>24.95269229654566</v>
      </c>
      <c r="M114" s="67">
        <f>M109*'Emissions Assumptions'!K12</f>
        <v>25.10589990720484</v>
      </c>
      <c r="N114" s="67">
        <f>N109*'Emissions Assumptions'!L12</f>
        <v>25.126466454863387</v>
      </c>
      <c r="O114" s="67">
        <f>O109*'Emissions Assumptions'!M12</f>
        <v>24.99218241233454</v>
      </c>
      <c r="P114" s="67">
        <f>P109*'Emissions Assumptions'!N12</f>
        <v>26.61706328654288</v>
      </c>
      <c r="Q114" s="67">
        <f>Q109*'Emissions Assumptions'!O12</f>
        <v>28.342177033238585</v>
      </c>
      <c r="R114" s="67">
        <f>R109*'Emissions Assumptions'!P12</f>
        <v>30.173050979439719</v>
      </c>
      <c r="S114" s="67">
        <f>S109*'Emissions Assumptions'!Q12</f>
        <v>32.115460857811144</v>
      </c>
      <c r="T114" s="67">
        <f>T109*'Emissions Assumptions'!R12</f>
        <v>34.175436064011798</v>
      </c>
      <c r="U114" s="67">
        <f>U109*'Emissions Assumptions'!S12</f>
        <v>36.359264252220164</v>
      </c>
      <c r="V114" s="67">
        <f>V109*'Emissions Assumptions'!T12</f>
        <v>38.673495136638557</v>
      </c>
      <c r="W114" s="67">
        <f>W109*'Emissions Assumptions'!U12</f>
        <v>41.124943350442926</v>
      </c>
      <c r="X114" s="67">
        <f>X109*'Emissions Assumptions'!V12</f>
        <v>43.720690195586933</v>
      </c>
      <c r="Y114" s="67">
        <f>Y109*'Emissions Assumptions'!W12</f>
        <v>46.468084096922539</v>
      </c>
    </row>
    <row r="115" spans="1:26" ht="15">
      <c r="A115" s="51"/>
      <c r="B115" s="54" t="s">
        <v>167</v>
      </c>
      <c r="C115" s="51"/>
      <c r="D115" s="51"/>
      <c r="E115" s="143">
        <f t="shared" si="46"/>
        <v>335470.04690214124</v>
      </c>
      <c r="F115" s="67">
        <f>F110*'Emissions Assumptions'!D6</f>
        <v>0.44662565981580388</v>
      </c>
      <c r="G115" s="67">
        <f>G110*'Emissions Assumptions'!E6</f>
        <v>44.315480013536387</v>
      </c>
      <c r="H115" s="67">
        <f>H110*'Emissions Assumptions'!F6</f>
        <v>45.045968576817671</v>
      </c>
      <c r="I115" s="67">
        <f>I110*'Emissions Assumptions'!G6</f>
        <v>45.15725920138383</v>
      </c>
      <c r="J115" s="67">
        <f>J110*'Emissions Assumptions'!H6</f>
        <v>45.010739149801353</v>
      </c>
      <c r="K115" s="67">
        <f>K110*'Emissions Assumptions'!I6</f>
        <v>44.563941626399519</v>
      </c>
      <c r="L115" s="67">
        <f>L110*'Emissions Assumptions'!J6</f>
        <v>43.769358788411566</v>
      </c>
      <c r="M115" s="67">
        <f>M110*'Emissions Assumptions'!K6</f>
        <v>42.573917887976378</v>
      </c>
      <c r="N115" s="67">
        <f>N110*'Emissions Assumptions'!L6</f>
        <v>40.918406795444859</v>
      </c>
      <c r="O115" s="67">
        <f>O110*'Emissions Assumptions'!M6</f>
        <v>38.73684423153545</v>
      </c>
      <c r="P115" s="67">
        <f>P110*'Emissions Assumptions'!N6</f>
        <v>40.95814196074469</v>
      </c>
      <c r="Q115" s="67">
        <f>Q110*'Emissions Assumptions'!O6</f>
        <v>43.288995195447932</v>
      </c>
      <c r="R115" s="67">
        <f>R110*'Emissions Assumptions'!P6</f>
        <v>45.732571620044553</v>
      </c>
      <c r="S115" s="67">
        <f>S110*'Emissions Assumptions'!Q6</f>
        <v>48.291863614812677</v>
      </c>
      <c r="T115" s="67">
        <f>T110*'Emissions Assumptions'!R6</f>
        <v>50.969642270311979</v>
      </c>
      <c r="U115" s="67">
        <f>U110*'Emissions Assumptions'!S6</f>
        <v>53.768405378588966</v>
      </c>
      <c r="V115" s="67">
        <f>V110*'Emissions Assumptions'!T6</f>
        <v>56.690318749149341</v>
      </c>
      <c r="W115" s="67">
        <f>W110*'Emissions Assumptions'!U6</f>
        <v>59.737150133235943</v>
      </c>
      <c r="X115" s="67">
        <f>X110*'Emissions Assumptions'!V6</f>
        <v>62.910194969489019</v>
      </c>
      <c r="Y115" s="67">
        <f>Y110*'Emissions Assumptions'!W6</f>
        <v>66.210193087028131</v>
      </c>
    </row>
    <row r="116" spans="1:26" ht="15">
      <c r="A116" s="51"/>
      <c r="B116" s="54" t="s">
        <v>165</v>
      </c>
      <c r="C116" s="51"/>
      <c r="D116" s="51"/>
      <c r="E116" s="143">
        <f t="shared" si="46"/>
        <v>14745950.754768323</v>
      </c>
      <c r="F116" s="67">
        <f>F111*'Emissions Assumptions'!D15</f>
        <v>19.539695595495957</v>
      </c>
      <c r="G116" s="67">
        <f>G111*'Emissions Assumptions'!E15</f>
        <v>1938.9899581700759</v>
      </c>
      <c r="H116" s="67">
        <f>H111*'Emissions Assumptions'!F15</f>
        <v>1971.3117571833645</v>
      </c>
      <c r="I116" s="67">
        <f>I111*'Emissions Assumptions'!G15</f>
        <v>1976.6254554208624</v>
      </c>
      <c r="J116" s="67">
        <f>J111*'Emissions Assumptions'!H15</f>
        <v>1970.7230851724166</v>
      </c>
      <c r="K116" s="67">
        <f>K111*'Emissions Assumptions'!I15</f>
        <v>1951.7541041610521</v>
      </c>
      <c r="L116" s="67">
        <f>L111*'Emissions Assumptions'!J15</f>
        <v>1917.6481875075642</v>
      </c>
      <c r="M116" s="67">
        <f>M111*'Emissions Assumptions'!K15</f>
        <v>1866.0923825389702</v>
      </c>
      <c r="N116" s="67">
        <f>N111*'Emissions Assumptions'!L15</f>
        <v>1794.5060558141063</v>
      </c>
      <c r="O116" s="67">
        <f>O111*'Emissions Assumptions'!M15</f>
        <v>1700.0134285528861</v>
      </c>
      <c r="P116" s="67">
        <f>P111*'Emissions Assumptions'!N15</f>
        <v>1798.5889994930524</v>
      </c>
      <c r="Q116" s="67">
        <f>Q111*'Emissions Assumptions'!O15</f>
        <v>1902.1448074923551</v>
      </c>
      <c r="R116" s="67">
        <f>R111*'Emissions Assumptions'!P15</f>
        <v>2010.8403202580926</v>
      </c>
      <c r="S116" s="67">
        <f>S111*'Emissions Assumptions'!Q15</f>
        <v>2124.8294416153517</v>
      </c>
      <c r="T116" s="67">
        <f>T111*'Emissions Assumptions'!R15</f>
        <v>2244.2586995395968</v>
      </c>
      <c r="U116" s="67">
        <f>U111*'Emissions Assumptions'!S15</f>
        <v>2369.2651889121489</v>
      </c>
      <c r="V116" s="67">
        <f>V111*'Emissions Assumptions'!T15</f>
        <v>2499.9742420900311</v>
      </c>
      <c r="W116" s="67">
        <f>W111*'Emissions Assumptions'!U15</f>
        <v>2636.4967977036476</v>
      </c>
      <c r="X116" s="67">
        <f>X111*'Emissions Assumptions'!V15</f>
        <v>2778.9264351657243</v>
      </c>
      <c r="Y116" s="67">
        <f>Y111*'Emissions Assumptions'!W15</f>
        <v>2927.3360391702504</v>
      </c>
    </row>
    <row r="117" spans="1:26" s="64" customFormat="1" ht="15">
      <c r="A117" s="51"/>
      <c r="B117" s="54" t="s">
        <v>166</v>
      </c>
      <c r="C117" s="51"/>
      <c r="D117" s="51"/>
      <c r="E117" s="143">
        <f t="shared" si="46"/>
        <v>5008459.0081758546</v>
      </c>
      <c r="F117" s="67">
        <f>F112*'Emissions Assumptions'!D22</f>
        <v>2.1456735513730032</v>
      </c>
      <c r="G117" s="67">
        <f>G112*'Emissions Assumptions'!E22</f>
        <v>234.57223836131138</v>
      </c>
      <c r="H117" s="67">
        <f>H112*'Emissions Assumptions'!F22</f>
        <v>262.50908577891153</v>
      </c>
      <c r="I117" s="67">
        <f>I112*'Emissions Assumptions'!G22</f>
        <v>290.55582644008325</v>
      </c>
      <c r="J117" s="67">
        <f>J112*'Emissions Assumptions'!H22</f>
        <v>321.30494254894705</v>
      </c>
      <c r="K117" s="67">
        <f>K112*'Emissions Assumptions'!I22</f>
        <v>355.26573653909531</v>
      </c>
      <c r="L117" s="67">
        <f>L112*'Emissions Assumptions'!J22</f>
        <v>392.42132328846355</v>
      </c>
      <c r="M117" s="67">
        <f>M112*'Emissions Assumptions'!K22</f>
        <v>433.0140359074606</v>
      </c>
      <c r="N117" s="67">
        <f>N112*'Emissions Assumptions'!L22</f>
        <v>477.29506238548481</v>
      </c>
      <c r="O117" s="67">
        <f>O112*'Emissions Assumptions'!M22</f>
        <v>525.52283335324944</v>
      </c>
      <c r="P117" s="67">
        <f>P112*'Emissions Assumptions'!N22</f>
        <v>590.95099555974627</v>
      </c>
      <c r="Q117" s="67">
        <f>Q112*'Emissions Assumptions'!O22</f>
        <v>664.0360951443372</v>
      </c>
      <c r="R117" s="67">
        <f>R112*'Emissions Assumptions'!P22</f>
        <v>745.62312175134798</v>
      </c>
      <c r="S117" s="67">
        <f>S112*'Emissions Assumptions'!Q22</f>
        <v>836.64458718644346</v>
      </c>
      <c r="T117" s="67">
        <f>T112*'Emissions Assumptions'!R22</f>
        <v>938.12892170285625</v>
      </c>
      <c r="U117" s="67">
        <f>U112*'Emissions Assumptions'!S22</f>
        <v>1050.514805807039</v>
      </c>
      <c r="V117" s="67">
        <f>V112*'Emissions Assumptions'!T22</f>
        <v>1175.6121681517996</v>
      </c>
      <c r="W117" s="67">
        <f>W112*'Emissions Assumptions'!U22</f>
        <v>1314.7763663169658</v>
      </c>
      <c r="X117" s="67">
        <f>X112*'Emissions Assumptions'!V22</f>
        <v>1469.497748973489</v>
      </c>
      <c r="Y117" s="67">
        <f>Y112*'Emissions Assumptions'!W22</f>
        <v>1641.4139331032513</v>
      </c>
    </row>
    <row r="118" spans="1:26" s="7" customFormat="1" ht="12">
      <c r="A118" s="69"/>
      <c r="B118" s="74" t="s">
        <v>162</v>
      </c>
      <c r="C118" s="69"/>
      <c r="D118" s="69"/>
      <c r="E118" s="143">
        <f t="shared" si="46"/>
        <v>20300519.854413651</v>
      </c>
      <c r="F118" s="110">
        <f>SUM(F114:F117)</f>
        <v>22.35830642517934</v>
      </c>
      <c r="G118" s="110">
        <f>SUM(G114:G117)</f>
        <v>2240.5251789524996</v>
      </c>
      <c r="H118" s="110">
        <f t="shared" ref="H118:Y118" si="47">SUM(H114:H117)</f>
        <v>2302.2452682046514</v>
      </c>
      <c r="I118" s="110">
        <f t="shared" si="47"/>
        <v>2336.2232766589314</v>
      </c>
      <c r="J118" s="110">
        <f t="shared" si="47"/>
        <v>2361.3642092943337</v>
      </c>
      <c r="K118" s="110">
        <f t="shared" si="47"/>
        <v>2376.2704398045962</v>
      </c>
      <c r="L118" s="110">
        <f t="shared" si="47"/>
        <v>2378.7915618809848</v>
      </c>
      <c r="M118" s="110">
        <f t="shared" si="47"/>
        <v>2366.7862362416122</v>
      </c>
      <c r="N118" s="110">
        <f t="shared" si="47"/>
        <v>2337.8459914498994</v>
      </c>
      <c r="O118" s="110">
        <f t="shared" si="47"/>
        <v>2289.2652885500056</v>
      </c>
      <c r="P118" s="110">
        <f t="shared" si="47"/>
        <v>2457.1152003000861</v>
      </c>
      <c r="Q118" s="110">
        <f t="shared" si="47"/>
        <v>2637.8120748653787</v>
      </c>
      <c r="R118" s="110">
        <f t="shared" si="47"/>
        <v>2832.3690646089244</v>
      </c>
      <c r="S118" s="110">
        <f t="shared" si="47"/>
        <v>3041.8813532744189</v>
      </c>
      <c r="T118" s="110">
        <f t="shared" si="47"/>
        <v>3267.5326995767768</v>
      </c>
      <c r="U118" s="110">
        <f t="shared" si="47"/>
        <v>3509.907664349997</v>
      </c>
      <c r="V118" s="110">
        <f t="shared" si="47"/>
        <v>3770.9502241276186</v>
      </c>
      <c r="W118" s="110">
        <f t="shared" si="47"/>
        <v>4052.1352575042924</v>
      </c>
      <c r="X118" s="110">
        <f t="shared" si="47"/>
        <v>4355.0550693042896</v>
      </c>
      <c r="Y118" s="110">
        <f t="shared" si="47"/>
        <v>4681.4282494574527</v>
      </c>
    </row>
    <row r="119" spans="1:26" s="176" customFormat="1" ht="12">
      <c r="A119" s="173"/>
      <c r="B119" s="174" t="s">
        <v>292</v>
      </c>
      <c r="C119" s="173"/>
      <c r="D119" s="173"/>
      <c r="E119" s="186">
        <f t="shared" si="46"/>
        <v>13901098.023305977</v>
      </c>
      <c r="F119" s="175">
        <f t="shared" ref="F119" si="48">F46*F118</f>
        <v>21.074848171532981</v>
      </c>
      <c r="G119" s="175">
        <f t="shared" ref="G119:Y119" si="49">G46*G118</f>
        <v>2050.3979300891251</v>
      </c>
      <c r="H119" s="175">
        <f t="shared" si="49"/>
        <v>2045.5151019250145</v>
      </c>
      <c r="I119" s="175">
        <f t="shared" si="49"/>
        <v>2015.2467207287496</v>
      </c>
      <c r="J119" s="175">
        <f t="shared" si="49"/>
        <v>1977.6053495802505</v>
      </c>
      <c r="K119" s="175">
        <f t="shared" si="49"/>
        <v>1932.1253232612551</v>
      </c>
      <c r="L119" s="175">
        <f t="shared" si="49"/>
        <v>1877.8400254569194</v>
      </c>
      <c r="M119" s="175">
        <f t="shared" si="49"/>
        <v>1813.9445733361679</v>
      </c>
      <c r="N119" s="175">
        <f t="shared" si="49"/>
        <v>1739.5769762035716</v>
      </c>
      <c r="O119" s="175">
        <f t="shared" si="49"/>
        <v>1653.8139522275289</v>
      </c>
      <c r="P119" s="175">
        <f t="shared" si="49"/>
        <v>1723.3711648068079</v>
      </c>
      <c r="Q119" s="175">
        <f t="shared" si="49"/>
        <v>1796.2216670297646</v>
      </c>
      <c r="R119" s="175">
        <f t="shared" si="49"/>
        <v>1872.529621262787</v>
      </c>
      <c r="S119" s="175">
        <f t="shared" si="49"/>
        <v>1952.4678891624812</v>
      </c>
      <c r="T119" s="175">
        <f t="shared" si="49"/>
        <v>2036.2183511968974</v>
      </c>
      <c r="U119" s="175">
        <f t="shared" si="49"/>
        <v>2123.5518603283572</v>
      </c>
      <c r="V119" s="175">
        <f t="shared" si="49"/>
        <v>2215.0358272419758</v>
      </c>
      <c r="W119" s="175">
        <f t="shared" si="49"/>
        <v>2310.8761161066395</v>
      </c>
      <c r="X119" s="175">
        <f t="shared" si="49"/>
        <v>2411.2884000200738</v>
      </c>
      <c r="Y119" s="175">
        <f t="shared" si="49"/>
        <v>2516.4983657160865</v>
      </c>
      <c r="Z119" s="175"/>
    </row>
    <row r="120" spans="1:26" s="176" customFormat="1" ht="12">
      <c r="A120" s="173"/>
      <c r="B120" s="174" t="s">
        <v>293</v>
      </c>
      <c r="C120" s="173"/>
      <c r="D120" s="173"/>
      <c r="E120" s="186">
        <f t="shared" si="46"/>
        <v>8894484.5020615049</v>
      </c>
      <c r="F120" s="175">
        <f t="shared" ref="F120" si="50">F48*F118</f>
        <v>19.528610730351417</v>
      </c>
      <c r="G120" s="175">
        <f t="shared" ref="G120:Y120" si="51">G48*G118</f>
        <v>1828.9359466994213</v>
      </c>
      <c r="H120" s="175">
        <f t="shared" si="51"/>
        <v>1756.3718920723991</v>
      </c>
      <c r="I120" s="175">
        <f t="shared" si="51"/>
        <v>1665.6949084458686</v>
      </c>
      <c r="J120" s="175">
        <f t="shared" si="51"/>
        <v>1573.4766784619071</v>
      </c>
      <c r="K120" s="175">
        <f t="shared" si="51"/>
        <v>1479.8218030362959</v>
      </c>
      <c r="L120" s="175">
        <f t="shared" si="51"/>
        <v>1384.4783468772212</v>
      </c>
      <c r="M120" s="175">
        <f t="shared" si="51"/>
        <v>1287.3748953755496</v>
      </c>
      <c r="N120" s="175">
        <f t="shared" si="51"/>
        <v>1188.442354873544</v>
      </c>
      <c r="O120" s="175">
        <f t="shared" si="51"/>
        <v>1087.6134476102577</v>
      </c>
      <c r="P120" s="175">
        <f t="shared" si="51"/>
        <v>1090.9885341654328</v>
      </c>
      <c r="Q120" s="175">
        <f t="shared" si="51"/>
        <v>1094.5982312802296</v>
      </c>
      <c r="R120" s="175">
        <f t="shared" si="51"/>
        <v>1098.4415561794542</v>
      </c>
      <c r="S120" s="175">
        <f t="shared" si="51"/>
        <v>1102.5177887186276</v>
      </c>
      <c r="T120" s="175">
        <f t="shared" si="51"/>
        <v>1106.8263747783712</v>
      </c>
      <c r="U120" s="175">
        <f t="shared" si="51"/>
        <v>1111.146879426909</v>
      </c>
      <c r="V120" s="175">
        <f t="shared" si="51"/>
        <v>1115.6881015642059</v>
      </c>
      <c r="W120" s="175">
        <f t="shared" si="51"/>
        <v>1120.4491651869607</v>
      </c>
      <c r="X120" s="175">
        <f t="shared" si="51"/>
        <v>1125.4289882090984</v>
      </c>
      <c r="Y120" s="175">
        <f t="shared" si="51"/>
        <v>1130.6261868873551</v>
      </c>
      <c r="Z120" s="175"/>
    </row>
    <row r="121" spans="1:26" s="64" customFormat="1" ht="11.4">
      <c r="A121" s="51"/>
      <c r="C121" s="51"/>
      <c r="D121" s="51"/>
      <c r="E121" s="140"/>
      <c r="F121" s="51"/>
      <c r="G121" s="68"/>
    </row>
    <row r="122" spans="1:26" s="64" customFormat="1" ht="12">
      <c r="A122" s="51"/>
      <c r="B122" s="79" t="s">
        <v>120</v>
      </c>
      <c r="C122" s="51"/>
      <c r="D122" s="51"/>
      <c r="E122" s="140"/>
      <c r="F122" s="51"/>
      <c r="G122" s="68"/>
    </row>
    <row r="123" spans="1:26" s="64" customFormat="1" ht="11.4">
      <c r="A123" s="51"/>
      <c r="B123" s="54" t="s">
        <v>198</v>
      </c>
      <c r="C123" s="51"/>
      <c r="D123" s="51"/>
      <c r="E123" s="140"/>
      <c r="F123" s="130">
        <f>'Price Assumptions'!$B$26</f>
        <v>0.2</v>
      </c>
      <c r="G123" s="130">
        <f>'Price Assumptions'!$B$26</f>
        <v>0.2</v>
      </c>
      <c r="H123" s="130">
        <f>'Price Assumptions'!$B$26</f>
        <v>0.2</v>
      </c>
      <c r="I123" s="130">
        <f>'Price Assumptions'!$B$26</f>
        <v>0.2</v>
      </c>
      <c r="J123" s="130">
        <f>'Price Assumptions'!$B$26</f>
        <v>0.2</v>
      </c>
      <c r="K123" s="130">
        <f>'Price Assumptions'!$B$26</f>
        <v>0.2</v>
      </c>
      <c r="L123" s="130">
        <f>'Price Assumptions'!$B$26</f>
        <v>0.2</v>
      </c>
      <c r="M123" s="130">
        <f>'Price Assumptions'!$B$26</f>
        <v>0.2</v>
      </c>
      <c r="N123" s="130">
        <f>'Price Assumptions'!$B$26</f>
        <v>0.2</v>
      </c>
      <c r="O123" s="130">
        <f>'Price Assumptions'!$B$26</f>
        <v>0.2</v>
      </c>
      <c r="P123" s="130">
        <f>'Price Assumptions'!$B$26</f>
        <v>0.2</v>
      </c>
      <c r="Q123" s="130">
        <f>'Price Assumptions'!$B$26</f>
        <v>0.2</v>
      </c>
      <c r="R123" s="130">
        <f>'Price Assumptions'!$B$26</f>
        <v>0.2</v>
      </c>
      <c r="S123" s="130">
        <f>'Price Assumptions'!$B$26</f>
        <v>0.2</v>
      </c>
      <c r="T123" s="130">
        <f>'Price Assumptions'!$B$26</f>
        <v>0.2</v>
      </c>
      <c r="U123" s="130">
        <f>'Price Assumptions'!$B$26</f>
        <v>0.2</v>
      </c>
      <c r="V123" s="130">
        <f>'Price Assumptions'!$B$26</f>
        <v>0.2</v>
      </c>
      <c r="W123" s="130">
        <f>'Price Assumptions'!$B$26</f>
        <v>0.2</v>
      </c>
      <c r="X123" s="130">
        <f>'Price Assumptions'!$B$26</f>
        <v>0.2</v>
      </c>
      <c r="Y123" s="130">
        <f>'Price Assumptions'!$B$26</f>
        <v>0.2</v>
      </c>
    </row>
    <row r="124" spans="1:26" s="64" customFormat="1" ht="11.4">
      <c r="A124" s="51"/>
      <c r="B124" s="54" t="s">
        <v>196</v>
      </c>
      <c r="C124" s="51"/>
      <c r="D124" s="51"/>
      <c r="E124" s="140"/>
      <c r="F124" s="129">
        <f>'Price Assumptions'!$B$25</f>
        <v>5.4413625171743009E-2</v>
      </c>
      <c r="G124" s="129">
        <f>'Price Assumptions'!$B$25</f>
        <v>5.4413625171743009E-2</v>
      </c>
      <c r="H124" s="129">
        <f>'Price Assumptions'!$B$25</f>
        <v>5.4413625171743009E-2</v>
      </c>
      <c r="I124" s="129">
        <f>'Price Assumptions'!$B$25</f>
        <v>5.4413625171743009E-2</v>
      </c>
      <c r="J124" s="129">
        <f>'Price Assumptions'!$B$25</f>
        <v>5.4413625171743009E-2</v>
      </c>
      <c r="K124" s="129">
        <f>'Price Assumptions'!$B$25</f>
        <v>5.4413625171743009E-2</v>
      </c>
      <c r="L124" s="129">
        <f>'Price Assumptions'!$B$25</f>
        <v>5.4413625171743009E-2</v>
      </c>
      <c r="M124" s="129">
        <f>'Price Assumptions'!$B$25</f>
        <v>5.4413625171743009E-2</v>
      </c>
      <c r="N124" s="129">
        <f>'Price Assumptions'!$B$25</f>
        <v>5.4413625171743009E-2</v>
      </c>
      <c r="O124" s="129">
        <f>'Price Assumptions'!$B$25</f>
        <v>5.4413625171743009E-2</v>
      </c>
      <c r="P124" s="129">
        <f>'Price Assumptions'!$B$25</f>
        <v>5.4413625171743009E-2</v>
      </c>
      <c r="Q124" s="129">
        <f>'Price Assumptions'!$B$25</f>
        <v>5.4413625171743009E-2</v>
      </c>
      <c r="R124" s="129">
        <f>'Price Assumptions'!$B$25</f>
        <v>5.4413625171743009E-2</v>
      </c>
      <c r="S124" s="129">
        <f>'Price Assumptions'!$B$25</f>
        <v>5.4413625171743009E-2</v>
      </c>
      <c r="T124" s="129">
        <f>'Price Assumptions'!$B$25</f>
        <v>5.4413625171743009E-2</v>
      </c>
      <c r="U124" s="129">
        <f>'Price Assumptions'!$B$25</f>
        <v>5.4413625171743009E-2</v>
      </c>
      <c r="V124" s="129">
        <f>'Price Assumptions'!$B$25</f>
        <v>5.4413625171743009E-2</v>
      </c>
      <c r="W124" s="129">
        <f>'Price Assumptions'!$B$25</f>
        <v>5.4413625171743009E-2</v>
      </c>
      <c r="X124" s="129">
        <f>'Price Assumptions'!$B$25</f>
        <v>5.4413625171743009E-2</v>
      </c>
      <c r="Y124" s="129">
        <f>'Price Assumptions'!$B$25</f>
        <v>5.4413625171743009E-2</v>
      </c>
    </row>
    <row r="125" spans="1:26" s="7" customFormat="1" ht="36">
      <c r="A125" s="69"/>
      <c r="B125" s="115" t="s">
        <v>133</v>
      </c>
      <c r="E125" s="143">
        <f>SUM(F125:Y125)*365</f>
        <v>3106879.5640607174</v>
      </c>
      <c r="F125" s="110">
        <f>F124*(('Bike Operating Assumptions'!D10*F123)+(F123*Bikestations!D23*Bikestations!$B$16))</f>
        <v>2.3941995075566922</v>
      </c>
      <c r="G125" s="110">
        <f>G124*(('Bike Operating Assumptions'!E10*G123)+(G123*Bikestations!E23*Bikestations!$B$16))</f>
        <v>207.70766279876483</v>
      </c>
      <c r="H125" s="110">
        <f>H124*(('Bike Operating Assumptions'!F10*H123)+(H123*Bikestations!F23*Bikestations!$B$16))</f>
        <v>224.61547549006275</v>
      </c>
      <c r="I125" s="110">
        <f>I124*(('Bike Operating Assumptions'!G10*I123)+(I123*Bikestations!G23*Bikestations!$B$16))</f>
        <v>242.32674267897625</v>
      </c>
      <c r="J125" s="110">
        <f>J124*(('Bike Operating Assumptions'!H10*J123)+(J123*Bikestations!H23*Bikestations!$B$16))</f>
        <v>261.42745247397733</v>
      </c>
      <c r="K125" s="110">
        <f>K124*(('Bike Operating Assumptions'!I10*K123)+(K123*Bikestations!I23*Bikestations!$B$16))</f>
        <v>282.02552214697846</v>
      </c>
      <c r="L125" s="110">
        <f>L124*(('Bike Operating Assumptions'!J10*L123)+(L123*Bikestations!J23*Bikestations!$B$16))</f>
        <v>304.23719750820652</v>
      </c>
      <c r="M125" s="110">
        <f>M124*(('Bike Operating Assumptions'!K10*M123)+(M123*Bikestations!K23*Bikestations!$B$16))</f>
        <v>328.18769301196909</v>
      </c>
      <c r="N125" s="110">
        <f>N124*(('Bike Operating Assumptions'!L10*N123)+(N123*Bikestations!L23*Bikestations!$B$16))</f>
        <v>354.01188092638154</v>
      </c>
      <c r="O125" s="110">
        <f>O124*(('Bike Operating Assumptions'!M10*O123)+(O123*Bikestations!M23*Bikestations!$B$16))</f>
        <v>381.85503332113552</v>
      </c>
      <c r="P125" s="110">
        <f>P124*(('Bike Operating Assumptions'!N10*P123)+(P123*Bikestations!N23*Bikestations!$B$16))</f>
        <v>411.87362091429571</v>
      </c>
      <c r="Q125" s="110">
        <f>Q124*(('Bike Operating Assumptions'!O10*Q123)+(Q123*Bikestations!O23*Bikestations!$B$16))</f>
        <v>444.23617312792345</v>
      </c>
      <c r="R125" s="110">
        <f>R124*(('Bike Operating Assumptions'!P10*R123)+(R123*Bikestations!P23*Bikestations!$B$16))</f>
        <v>479.12420403472635</v>
      </c>
      <c r="S125" s="110">
        <f>S124*(('Bike Operating Assumptions'!Q10*S123)+(S123*Bikestations!Q23*Bikestations!$B$16))</f>
        <v>516.73320923570805</v>
      </c>
      <c r="T125" s="110">
        <f>T124*(('Bike Operating Assumptions'!R10*T123)+(T123*Bikestations!R23*Bikestations!$B$16))</f>
        <v>557.27373909388712</v>
      </c>
      <c r="U125" s="110">
        <f>U124*(('Bike Operating Assumptions'!S10*U123)+(U123*Bikestations!S23*Bikestations!$B$16))</f>
        <v>600.97255416366272</v>
      </c>
      <c r="V125" s="110">
        <f>V124*(('Bike Operating Assumptions'!T10*V123)+(V123*Bikestations!T23*Bikestations!$B$16))</f>
        <v>648.07386910154594</v>
      </c>
      <c r="W125" s="110">
        <f>W124*(('Bike Operating Assumptions'!U10*W123)+(W123*Bikestations!U23*Bikestations!$B$16))</f>
        <v>698.84069182419353</v>
      </c>
      <c r="X125" s="110">
        <f>X124*(('Bike Operating Assumptions'!V10*X123)+(X123*Bikestations!V23*Bikestations!$B$16))</f>
        <v>753.55626519655675</v>
      </c>
      <c r="Y125" s="110">
        <f>Y124*(('Bike Operating Assumptions'!W10*Y123)+(Y123*Bikestations!W23*Bikestations!$B$16))</f>
        <v>812.52561908929295</v>
      </c>
    </row>
    <row r="126" spans="1:26" s="176" customFormat="1" ht="12">
      <c r="A126" s="173"/>
      <c r="B126" s="174" t="s">
        <v>292</v>
      </c>
      <c r="C126" s="173"/>
      <c r="D126" s="173"/>
      <c r="E126" s="186">
        <f>SUM(F126:Y126)*365</f>
        <v>2067383.9665256394</v>
      </c>
      <c r="F126" s="175">
        <f t="shared" ref="F126" si="52">F46*F125</f>
        <v>2.2567626614729872</v>
      </c>
      <c r="G126" s="175">
        <f t="shared" ref="G126:Y126" si="53">G46*G125</f>
        <v>190.08193519402818</v>
      </c>
      <c r="H126" s="175">
        <f t="shared" si="53"/>
        <v>199.56794073434466</v>
      </c>
      <c r="I126" s="175">
        <f t="shared" si="53"/>
        <v>209.03317692608584</v>
      </c>
      <c r="J126" s="175">
        <f t="shared" si="53"/>
        <v>218.94137571187031</v>
      </c>
      <c r="K126" s="175">
        <f t="shared" si="53"/>
        <v>229.3125580398852</v>
      </c>
      <c r="L126" s="175">
        <f t="shared" si="53"/>
        <v>240.16765313477094</v>
      </c>
      <c r="M126" s="175">
        <f t="shared" si="53"/>
        <v>251.52853927362673</v>
      </c>
      <c r="N126" s="175">
        <f t="shared" si="53"/>
        <v>263.41808639846454</v>
      </c>
      <c r="O126" s="175">
        <f t="shared" si="53"/>
        <v>275.86020064751767</v>
      </c>
      <c r="P126" s="175">
        <f t="shared" si="53"/>
        <v>288.87987089151483</v>
      </c>
      <c r="Q126" s="175">
        <f t="shared" si="53"/>
        <v>302.50321736490088</v>
      </c>
      <c r="R126" s="175">
        <f t="shared" si="53"/>
        <v>316.75754248603073</v>
      </c>
      <c r="S126" s="175">
        <f t="shared" si="53"/>
        <v>331.67138396458711</v>
      </c>
      <c r="T126" s="175">
        <f t="shared" si="53"/>
        <v>347.2745702988862</v>
      </c>
      <c r="U126" s="175">
        <f t="shared" si="53"/>
        <v>363.59827877035349</v>
      </c>
      <c r="V126" s="175">
        <f t="shared" si="53"/>
        <v>380.67509604726871</v>
      </c>
      <c r="W126" s="175">
        <f t="shared" si="53"/>
        <v>398.53908151491623</v>
      </c>
      <c r="X126" s="175">
        <f t="shared" si="53"/>
        <v>417.22583345454137</v>
      </c>
      <c r="Y126" s="175">
        <f t="shared" si="53"/>
        <v>436.77255819901262</v>
      </c>
      <c r="Z126" s="175"/>
    </row>
    <row r="127" spans="1:26" s="176" customFormat="1" ht="12">
      <c r="A127" s="173"/>
      <c r="B127" s="174" t="s">
        <v>293</v>
      </c>
      <c r="C127" s="173"/>
      <c r="D127" s="173"/>
      <c r="E127" s="186">
        <f>SUM(F127:Y127)*365</f>
        <v>1269416.2942333254</v>
      </c>
      <c r="F127" s="175">
        <f t="shared" ref="F127" si="54">F48*F125</f>
        <v>2.0911865731126666</v>
      </c>
      <c r="G127" s="175">
        <f t="shared" ref="G127:Y127" si="55">G48*G125</f>
        <v>169.5513241565927</v>
      </c>
      <c r="H127" s="175">
        <f t="shared" si="55"/>
        <v>171.35807080314711</v>
      </c>
      <c r="I127" s="175">
        <f t="shared" si="55"/>
        <v>172.77561844940527</v>
      </c>
      <c r="J127" s="175">
        <f t="shared" si="55"/>
        <v>174.2001500481957</v>
      </c>
      <c r="K127" s="175">
        <f t="shared" si="55"/>
        <v>175.63132112189786</v>
      </c>
      <c r="L127" s="175">
        <f t="shared" si="55"/>
        <v>177.06881889712801</v>
      </c>
      <c r="M127" s="175">
        <f t="shared" si="55"/>
        <v>178.5123601300578</v>
      </c>
      <c r="N127" s="175">
        <f t="shared" si="55"/>
        <v>179.96168907620606</v>
      </c>
      <c r="O127" s="175">
        <f t="shared" si="55"/>
        <v>181.41657559521337</v>
      </c>
      <c r="P127" s="175">
        <f t="shared" si="55"/>
        <v>182.87681338173232</v>
      </c>
      <c r="Q127" s="175">
        <f t="shared" si="55"/>
        <v>184.34221831414555</v>
      </c>
      <c r="R127" s="175">
        <f t="shared" si="55"/>
        <v>185.81262691336943</v>
      </c>
      <c r="S127" s="175">
        <f t="shared" si="55"/>
        <v>187.28789490450498</v>
      </c>
      <c r="T127" s="175">
        <f t="shared" si="55"/>
        <v>188.76789587457407</v>
      </c>
      <c r="U127" s="175">
        <f t="shared" si="55"/>
        <v>190.25252002002097</v>
      </c>
      <c r="V127" s="175">
        <f t="shared" si="55"/>
        <v>191.74167297807421</v>
      </c>
      <c r="W127" s="175">
        <f t="shared" si="55"/>
        <v>193.23527473644955</v>
      </c>
      <c r="X127" s="175">
        <f t="shared" si="55"/>
        <v>194.73325861623738</v>
      </c>
      <c r="Y127" s="175">
        <f t="shared" si="55"/>
        <v>196.23557032315551</v>
      </c>
      <c r="Z127" s="175"/>
    </row>
    <row r="128" spans="1:26" s="64" customFormat="1" ht="11.4">
      <c r="A128" s="51"/>
      <c r="B128" s="92"/>
      <c r="E128" s="140"/>
      <c r="F128" s="51"/>
      <c r="G128" s="101"/>
      <c r="H128" s="91"/>
    </row>
    <row r="129" spans="1:26" s="64" customFormat="1" ht="12">
      <c r="A129" s="51"/>
      <c r="B129" s="52" t="s">
        <v>155</v>
      </c>
      <c r="C129" s="51"/>
      <c r="D129" s="51"/>
      <c r="E129" s="140"/>
      <c r="F129" s="51"/>
      <c r="G129" s="68"/>
    </row>
    <row r="130" spans="1:26" s="7" customFormat="1" ht="12">
      <c r="A130" s="69"/>
      <c r="B130" s="48" t="s">
        <v>173</v>
      </c>
      <c r="C130" s="69"/>
      <c r="D130" s="69"/>
      <c r="E130" s="143">
        <f>SUM(F130:Y130)*365</f>
        <v>5947019.92740638</v>
      </c>
      <c r="F130" s="110">
        <f>F62*0.02</f>
        <v>3.7153600000000004</v>
      </c>
      <c r="G130" s="110">
        <f t="shared" ref="G130:Y130" si="56">G62*0.02</f>
        <v>394.883017</v>
      </c>
      <c r="H130" s="110">
        <f t="shared" si="56"/>
        <v>430.05839515562496</v>
      </c>
      <c r="I130" s="110">
        <f t="shared" si="56"/>
        <v>463.70704052365363</v>
      </c>
      <c r="J130" s="110">
        <f t="shared" si="56"/>
        <v>500.04230798957582</v>
      </c>
      <c r="K130" s="110">
        <f t="shared" si="56"/>
        <v>539.27517370334033</v>
      </c>
      <c r="L130" s="110">
        <f t="shared" si="56"/>
        <v>581.63301063283859</v>
      </c>
      <c r="M130" s="110">
        <f t="shared" si="56"/>
        <v>627.36085450927601</v>
      </c>
      <c r="N130" s="110">
        <f t="shared" si="56"/>
        <v>676.72276709508594</v>
      </c>
      <c r="O130" s="110">
        <f t="shared" si="56"/>
        <v>730.00330423543085</v>
      </c>
      <c r="P130" s="110">
        <f t="shared" si="56"/>
        <v>787.50909672528803</v>
      </c>
      <c r="Q130" s="110">
        <f t="shared" si="56"/>
        <v>849.57055263868074</v>
      </c>
      <c r="R130" s="110">
        <f t="shared" si="56"/>
        <v>916.54369042817882</v>
      </c>
      <c r="S130" s="110">
        <f t="shared" si="56"/>
        <v>988.81211281488561</v>
      </c>
      <c r="T130" s="110">
        <f t="shared" si="56"/>
        <v>1066.7891322556511</v>
      </c>
      <c r="U130" s="110">
        <f t="shared" si="56"/>
        <v>1150.9200595993561</v>
      </c>
      <c r="V130" s="110">
        <f t="shared" si="56"/>
        <v>1241.6846684322347</v>
      </c>
      <c r="W130" s="110">
        <f t="shared" si="56"/>
        <v>1339.5998485682221</v>
      </c>
      <c r="X130" s="110">
        <f t="shared" si="56"/>
        <v>1445.2224631693348</v>
      </c>
      <c r="Y130" s="110">
        <f t="shared" si="56"/>
        <v>1559.1524250887644</v>
      </c>
    </row>
    <row r="131" spans="1:26" s="176" customFormat="1" ht="12">
      <c r="A131" s="173"/>
      <c r="B131" s="174" t="s">
        <v>292</v>
      </c>
      <c r="C131" s="173"/>
      <c r="D131" s="173"/>
      <c r="E131" s="186">
        <f>SUM(F131:Y131)*365</f>
        <v>3956355.7499757907</v>
      </c>
      <c r="F131" s="175">
        <f t="shared" ref="F131" si="57">F46*F130</f>
        <v>3.502083136959186</v>
      </c>
      <c r="G131" s="175">
        <f t="shared" ref="G131:Y131" si="58">G46*G130</f>
        <v>361.37389942776196</v>
      </c>
      <c r="H131" s="175">
        <f t="shared" si="58"/>
        <v>382.10131394318006</v>
      </c>
      <c r="I131" s="175">
        <f t="shared" si="58"/>
        <v>399.99776653648718</v>
      </c>
      <c r="J131" s="175">
        <f t="shared" si="58"/>
        <v>418.77756061702888</v>
      </c>
      <c r="K131" s="175">
        <f t="shared" si="58"/>
        <v>438.48006601639861</v>
      </c>
      <c r="L131" s="175">
        <f t="shared" si="58"/>
        <v>459.14646957537838</v>
      </c>
      <c r="M131" s="175">
        <f t="shared" si="58"/>
        <v>480.81985611330487</v>
      </c>
      <c r="N131" s="175">
        <f t="shared" si="58"/>
        <v>503.54529306752727</v>
      </c>
      <c r="O131" s="175">
        <f t="shared" si="58"/>
        <v>527.36991896707468</v>
      </c>
      <c r="P131" s="175">
        <f t="shared" si="58"/>
        <v>552.34303591205912</v>
      </c>
      <c r="Q131" s="175">
        <f t="shared" si="58"/>
        <v>578.51620623805434</v>
      </c>
      <c r="R131" s="175">
        <f t="shared" si="58"/>
        <v>605.94335355277735</v>
      </c>
      <c r="S131" s="175">
        <f t="shared" si="58"/>
        <v>634.68086834082533</v>
      </c>
      <c r="T131" s="175">
        <f t="shared" si="58"/>
        <v>664.78771834103588</v>
      </c>
      <c r="U131" s="175">
        <f t="shared" si="58"/>
        <v>696.32556391025469</v>
      </c>
      <c r="V131" s="175">
        <f t="shared" si="58"/>
        <v>729.35887859690661</v>
      </c>
      <c r="W131" s="175">
        <f t="shared" si="58"/>
        <v>763.95507515782776</v>
      </c>
      <c r="X131" s="175">
        <f t="shared" si="58"/>
        <v>800.18463726231414</v>
      </c>
      <c r="Y131" s="175">
        <f t="shared" si="58"/>
        <v>838.12125713832506</v>
      </c>
      <c r="Z131" s="175"/>
    </row>
    <row r="132" spans="1:26" s="176" customFormat="1" ht="12">
      <c r="A132" s="173"/>
      <c r="B132" s="174" t="s">
        <v>293</v>
      </c>
      <c r="C132" s="173"/>
      <c r="D132" s="173"/>
      <c r="E132" s="186">
        <f>SUM(F132:Y132)*365</f>
        <v>2428520.985786255</v>
      </c>
      <c r="F132" s="175">
        <f t="shared" ref="F132" si="59">F48*F130</f>
        <v>3.2451393134771598</v>
      </c>
      <c r="G132" s="175">
        <f t="shared" ref="G132:Y132" si="60">G48*G130</f>
        <v>322.34216839735416</v>
      </c>
      <c r="H132" s="175">
        <f t="shared" si="60"/>
        <v>328.0894905650689</v>
      </c>
      <c r="I132" s="175">
        <f t="shared" si="60"/>
        <v>330.6167112226384</v>
      </c>
      <c r="J132" s="175">
        <f t="shared" si="60"/>
        <v>333.19930350811541</v>
      </c>
      <c r="K132" s="175">
        <f t="shared" si="60"/>
        <v>335.83347522852324</v>
      </c>
      <c r="L132" s="175">
        <f t="shared" si="60"/>
        <v>338.51570770388582</v>
      </c>
      <c r="M132" s="175">
        <f t="shared" si="60"/>
        <v>341.24273754401969</v>
      </c>
      <c r="N132" s="175">
        <f t="shared" si="60"/>
        <v>344.01153962423444</v>
      </c>
      <c r="O132" s="175">
        <f t="shared" si="60"/>
        <v>346.81931118138903</v>
      </c>
      <c r="P132" s="175">
        <f t="shared" si="60"/>
        <v>349.66345695689682</v>
      </c>
      <c r="Q132" s="175">
        <f t="shared" si="60"/>
        <v>352.54157531806993</v>
      </c>
      <c r="R132" s="175">
        <f t="shared" si="60"/>
        <v>355.45144529369344</v>
      </c>
      <c r="S132" s="175">
        <f t="shared" si="60"/>
        <v>358.3910144639072</v>
      </c>
      <c r="T132" s="175">
        <f t="shared" si="60"/>
        <v>361.35838764839963</v>
      </c>
      <c r="U132" s="175">
        <f t="shared" si="60"/>
        <v>364.35181634058353</v>
      </c>
      <c r="V132" s="175">
        <f t="shared" si="60"/>
        <v>367.36968883884617</v>
      </c>
      <c r="W132" s="175">
        <f t="shared" si="60"/>
        <v>370.41052102917212</v>
      </c>
      <c r="X132" s="175">
        <f t="shared" si="60"/>
        <v>373.47294777642259</v>
      </c>
      <c r="Y132" s="175">
        <f t="shared" si="60"/>
        <v>376.55571488435851</v>
      </c>
      <c r="Z132" s="175"/>
    </row>
    <row r="133" spans="1:26" s="64" customFormat="1" ht="11.4">
      <c r="A133" s="51"/>
      <c r="B133" s="53"/>
      <c r="C133" s="51"/>
      <c r="D133" s="51"/>
      <c r="E133" s="140"/>
      <c r="F133" s="51"/>
      <c r="G133" s="68"/>
    </row>
    <row r="134" spans="1:26" s="125" customFormat="1" ht="12">
      <c r="A134" s="123"/>
      <c r="B134" s="126" t="s">
        <v>193</v>
      </c>
      <c r="C134" s="127"/>
      <c r="D134" s="123"/>
      <c r="E134" s="141">
        <f>SUM(F134:Y134)</f>
        <v>856641747.6683104</v>
      </c>
      <c r="F134" s="124">
        <f>(F118+F82+F93+F98+F103+F125+F130)*365</f>
        <v>199712.66269361385</v>
      </c>
      <c r="G134" s="124">
        <f t="shared" ref="G134:Y134" si="61">(G118+G82+G93+G98+G103+G125+G130)*365</f>
        <v>20482875.95694204</v>
      </c>
      <c r="H134" s="124">
        <f t="shared" si="61"/>
        <v>22176979.676139612</v>
      </c>
      <c r="I134" s="124">
        <f t="shared" si="61"/>
        <v>23968520.126724057</v>
      </c>
      <c r="J134" s="124">
        <f t="shared" si="61"/>
        <v>25899751.179791514</v>
      </c>
      <c r="K134" s="124">
        <f t="shared" si="61"/>
        <v>27981458.258623589</v>
      </c>
      <c r="L134" s="124">
        <f t="shared" si="61"/>
        <v>30225035.388117429</v>
      </c>
      <c r="M134" s="124">
        <f t="shared" si="61"/>
        <v>32642831.94678463</v>
      </c>
      <c r="N134" s="124">
        <f t="shared" si="61"/>
        <v>35248125.851119377</v>
      </c>
      <c r="O134" s="124">
        <f t="shared" si="61"/>
        <v>38055192.356768027</v>
      </c>
      <c r="P134" s="124">
        <f t="shared" si="61"/>
        <v>41166651.852566265</v>
      </c>
      <c r="Q134" s="124">
        <f t="shared" si="61"/>
        <v>44525934.974687129</v>
      </c>
      <c r="R134" s="124">
        <f t="shared" si="61"/>
        <v>48152534.131431311</v>
      </c>
      <c r="S134" s="124">
        <f t="shared" si="61"/>
        <v>52067463.046612896</v>
      </c>
      <c r="T134" s="124">
        <f t="shared" si="61"/>
        <v>56293374.898685209</v>
      </c>
      <c r="U134" s="124">
        <f t="shared" si="61"/>
        <v>60854435.992258199</v>
      </c>
      <c r="V134" s="124">
        <f t="shared" si="61"/>
        <v>65777175.010828823</v>
      </c>
      <c r="W134" s="124">
        <f t="shared" si="61"/>
        <v>71089960.363979325</v>
      </c>
      <c r="X134" s="124">
        <f t="shared" si="61"/>
        <v>76823370.222609445</v>
      </c>
      <c r="Y134" s="124">
        <f t="shared" si="61"/>
        <v>83010363.770947814</v>
      </c>
    </row>
    <row r="135" spans="1:26" s="125" customFormat="1" ht="12">
      <c r="A135" s="123"/>
      <c r="B135" s="90" t="s">
        <v>294</v>
      </c>
      <c r="C135" s="123"/>
      <c r="D135" s="123"/>
      <c r="E135" s="141"/>
      <c r="F135" s="171">
        <v>0.94259590913375435</v>
      </c>
      <c r="G135" s="171">
        <v>0.91514165935315961</v>
      </c>
      <c r="H135" s="171">
        <v>0.888487047915689</v>
      </c>
      <c r="I135" s="171">
        <v>0.86260878438416411</v>
      </c>
      <c r="J135" s="171">
        <v>0.83748425668365445</v>
      </c>
      <c r="K135" s="171">
        <v>0.81309151134335378</v>
      </c>
      <c r="L135" s="171">
        <v>0.78940923431393573</v>
      </c>
      <c r="M135" s="171">
        <v>0.76641673234362695</v>
      </c>
      <c r="N135" s="171">
        <v>0.74409391489672516</v>
      </c>
      <c r="O135" s="171">
        <v>0.72242127659876232</v>
      </c>
      <c r="P135" s="171">
        <v>0.70137988019297326</v>
      </c>
      <c r="Q135" s="171">
        <v>0.68095133999317792</v>
      </c>
      <c r="R135" s="171">
        <v>0.66111780581861923</v>
      </c>
      <c r="S135" s="171">
        <v>0.64186194739671765</v>
      </c>
      <c r="T135" s="171">
        <v>0.62316693922011435</v>
      </c>
      <c r="U135" s="171">
        <v>0.60501644584477121</v>
      </c>
      <c r="V135" s="171">
        <v>0.5873946076162827</v>
      </c>
      <c r="W135" s="171">
        <v>0.57028602681192497</v>
      </c>
      <c r="X135" s="171">
        <v>0.55367575418633497</v>
      </c>
      <c r="Y135" s="171">
        <v>0.5375492759090631</v>
      </c>
    </row>
    <row r="136" spans="1:26" s="176" customFormat="1" ht="12">
      <c r="A136" s="173"/>
      <c r="B136" s="174" t="s">
        <v>292</v>
      </c>
      <c r="C136" s="173"/>
      <c r="D136" s="173"/>
      <c r="E136" s="186">
        <f>SUM(F136:Y136)</f>
        <v>569034597.34491241</v>
      </c>
      <c r="F136" s="175">
        <f>F134*F135</f>
        <v>188248.33885720978</v>
      </c>
      <c r="G136" s="175">
        <f>G134*G135</f>
        <v>18744733.091560874</v>
      </c>
      <c r="H136" s="175">
        <f>H134*H135</f>
        <v>19703959.204139516</v>
      </c>
      <c r="I136" s="175">
        <f t="shared" ref="I136:Y136" si="62">I134*I135</f>
        <v>20675456.01000081</v>
      </c>
      <c r="J136" s="175">
        <f t="shared" si="62"/>
        <v>21690633.8650993</v>
      </c>
      <c r="K136" s="175">
        <f t="shared" si="62"/>
        <v>22751486.185095221</v>
      </c>
      <c r="L136" s="175">
        <f t="shared" si="62"/>
        <v>23859922.042845391</v>
      </c>
      <c r="M136" s="175">
        <f t="shared" si="62"/>
        <v>25018012.59509683</v>
      </c>
      <c r="N136" s="175">
        <f t="shared" si="62"/>
        <v>26227915.957331881</v>
      </c>
      <c r="O136" s="175">
        <f t="shared" si="62"/>
        <v>27491880.64358782</v>
      </c>
      <c r="P136" s="175">
        <f t="shared" si="62"/>
        <v>28873461.344298769</v>
      </c>
      <c r="Q136" s="175">
        <f t="shared" si="62"/>
        <v>30319995.085462306</v>
      </c>
      <c r="R136" s="175">
        <f t="shared" si="62"/>
        <v>31834497.709578041</v>
      </c>
      <c r="S136" s="175">
        <f t="shared" si="62"/>
        <v>33420123.227105588</v>
      </c>
      <c r="T136" s="175">
        <f t="shared" si="62"/>
        <v>35080170.133984074</v>
      </c>
      <c r="U136" s="175">
        <f t="shared" si="62"/>
        <v>36817934.577924177</v>
      </c>
      <c r="V136" s="175">
        <f t="shared" si="62"/>
        <v>38637157.905593351</v>
      </c>
      <c r="W136" s="175">
        <f t="shared" si="62"/>
        <v>40541611.042190999</v>
      </c>
      <c r="X136" s="175">
        <f t="shared" si="62"/>
        <v>42535237.447139315</v>
      </c>
      <c r="Y136" s="175">
        <f t="shared" si="62"/>
        <v>44622160.938020922</v>
      </c>
    </row>
    <row r="137" spans="1:26" s="125" customFormat="1" ht="12">
      <c r="A137" s="123"/>
      <c r="B137" s="90" t="s">
        <v>295</v>
      </c>
      <c r="C137" s="123"/>
      <c r="D137" s="123"/>
      <c r="E137" s="141"/>
      <c r="F137" s="171">
        <v>0.87343872827321156</v>
      </c>
      <c r="G137" s="171">
        <v>0.81629787689085187</v>
      </c>
      <c r="H137" s="171">
        <v>0.7628952120475252</v>
      </c>
      <c r="I137" s="171">
        <v>0.71298617948366838</v>
      </c>
      <c r="J137" s="171">
        <v>0.66634222381651254</v>
      </c>
      <c r="K137" s="171">
        <v>0.62274974188459109</v>
      </c>
      <c r="L137" s="171">
        <v>0.5820091045650384</v>
      </c>
      <c r="M137" s="171">
        <v>0.54393374258414806</v>
      </c>
      <c r="N137" s="171">
        <v>0.5083492921347178</v>
      </c>
      <c r="O137" s="171">
        <v>0.47509279638758667</v>
      </c>
      <c r="P137" s="171">
        <v>0.44401195924073528</v>
      </c>
      <c r="Q137" s="171">
        <v>0.41496444788853759</v>
      </c>
      <c r="R137" s="171">
        <v>0.3878172410173249</v>
      </c>
      <c r="S137" s="171">
        <v>0.36244601964235967</v>
      </c>
      <c r="T137" s="171">
        <v>0.33873459779659787</v>
      </c>
      <c r="U137" s="171">
        <v>0.31657439046411018</v>
      </c>
      <c r="V137" s="171">
        <v>0.29586391632159825</v>
      </c>
      <c r="W137" s="171">
        <v>0.27650833301083949</v>
      </c>
      <c r="X137" s="171">
        <v>0.2584190028138687</v>
      </c>
      <c r="Y137" s="171">
        <v>0.24151308674193336</v>
      </c>
    </row>
    <row r="138" spans="1:26" s="176" customFormat="1" ht="12">
      <c r="A138" s="173"/>
      <c r="B138" s="174" t="s">
        <v>293</v>
      </c>
      <c r="C138" s="173"/>
      <c r="D138" s="173"/>
      <c r="E138" s="186">
        <f>SUM(F138:Y138)</f>
        <v>348584365.02400309</v>
      </c>
      <c r="F138" s="175">
        <f>F134*F137</f>
        <v>174436.77412316695</v>
      </c>
      <c r="G138" s="175">
        <f>G134*G137</f>
        <v>16720128.156270463</v>
      </c>
      <c r="H138" s="175">
        <f>H134*H137</f>
        <v>16918711.612602185</v>
      </c>
      <c r="I138" s="175">
        <f t="shared" ref="I138:Y138" si="63">I134*I137</f>
        <v>17089223.593030397</v>
      </c>
      <c r="J138" s="175">
        <f t="shared" si="63"/>
        <v>17258097.797436621</v>
      </c>
      <c r="K138" s="175">
        <f t="shared" si="63"/>
        <v>17425445.908112299</v>
      </c>
      <c r="L138" s="175">
        <f t="shared" si="63"/>
        <v>17591245.781684823</v>
      </c>
      <c r="M138" s="175">
        <f t="shared" si="63"/>
        <v>17755537.749359954</v>
      </c>
      <c r="N138" s="175">
        <f t="shared" si="63"/>
        <v>17918359.825491983</v>
      </c>
      <c r="O138" s="175">
        <f t="shared" si="63"/>
        <v>18079747.753844436</v>
      </c>
      <c r="P138" s="175">
        <f t="shared" si="63"/>
        <v>18278485.744439192</v>
      </c>
      <c r="Q138" s="175">
        <f t="shared" si="63"/>
        <v>18476680.023491971</v>
      </c>
      <c r="R138" s="175">
        <f t="shared" si="63"/>
        <v>18674382.934844259</v>
      </c>
      <c r="S138" s="175">
        <f t="shared" si="63"/>
        <v>18871644.734120496</v>
      </c>
      <c r="T138" s="175">
        <f t="shared" si="63"/>
        <v>19068513.704919234</v>
      </c>
      <c r="U138" s="175">
        <f t="shared" si="63"/>
        <v>19264955.981286347</v>
      </c>
      <c r="V138" s="175">
        <f t="shared" si="63"/>
        <v>19461092.603274982</v>
      </c>
      <c r="W138" s="175">
        <f t="shared" si="63"/>
        <v>19656966.434050575</v>
      </c>
      <c r="X138" s="175">
        <f t="shared" si="63"/>
        <v>19852618.725727387</v>
      </c>
      <c r="Y138" s="175">
        <f t="shared" si="63"/>
        <v>20048089.185892362</v>
      </c>
    </row>
    <row r="139" spans="1:26" s="64" customFormat="1" ht="11.4">
      <c r="A139" s="51"/>
      <c r="B139" s="83"/>
      <c r="C139" s="86"/>
      <c r="D139" s="51"/>
      <c r="E139" s="140"/>
      <c r="F139" s="51"/>
      <c r="G139" s="68"/>
    </row>
    <row r="140" spans="1:26" s="179" customFormat="1" ht="11.4">
      <c r="A140" s="177"/>
      <c r="B140" s="181" t="s">
        <v>301</v>
      </c>
      <c r="C140" s="187"/>
      <c r="D140" s="177"/>
      <c r="E140" s="182"/>
      <c r="F140" s="178">
        <f t="shared" ref="F140:Y140" si="64">F134+F45</f>
        <v>-811183.67526860395</v>
      </c>
      <c r="G140" s="178">
        <f t="shared" si="64"/>
        <v>-8619200.8890647255</v>
      </c>
      <c r="H140" s="178">
        <f t="shared" si="64"/>
        <v>6378919.2055057697</v>
      </c>
      <c r="I140" s="178">
        <f t="shared" si="64"/>
        <v>7470632.5342138112</v>
      </c>
      <c r="J140" s="178">
        <f t="shared" si="64"/>
        <v>8670595.1239277534</v>
      </c>
      <c r="K140" s="178">
        <f t="shared" si="64"/>
        <v>9988282.9374771304</v>
      </c>
      <c r="L140" s="178">
        <f t="shared" si="64"/>
        <v>11433734.236955848</v>
      </c>
      <c r="M140" s="178">
        <f t="shared" si="64"/>
        <v>13017895.132845562</v>
      </c>
      <c r="N140" s="178">
        <f t="shared" si="64"/>
        <v>14752591.54525777</v>
      </c>
      <c r="O140" s="178">
        <f t="shared" si="64"/>
        <v>16650596.760523237</v>
      </c>
      <c r="P140" s="178">
        <f t="shared" si="64"/>
        <v>18812977.957847491</v>
      </c>
      <c r="Q140" s="178">
        <f t="shared" si="64"/>
        <v>21181560.031783648</v>
      </c>
      <c r="R140" s="178">
        <f t="shared" si="64"/>
        <v>23774175.799416892</v>
      </c>
      <c r="S140" s="178">
        <f t="shared" si="64"/>
        <v>26610124.198432297</v>
      </c>
      <c r="T140" s="178">
        <f t="shared" si="64"/>
        <v>29710287.051287577</v>
      </c>
      <c r="U140" s="178">
        <f t="shared" si="64"/>
        <v>33097001.330080509</v>
      </c>
      <c r="V140" s="178">
        <f t="shared" si="64"/>
        <v>36794906.968736857</v>
      </c>
      <c r="W140" s="178">
        <f t="shared" si="64"/>
        <v>40830422.733448908</v>
      </c>
      <c r="X140" s="178">
        <f t="shared" si="64"/>
        <v>45232114.742484882</v>
      </c>
      <c r="Y140" s="178">
        <f t="shared" si="64"/>
        <v>50030866.161552787</v>
      </c>
    </row>
    <row r="141" spans="1:26" s="179" customFormat="1" ht="11.4">
      <c r="A141" s="177"/>
      <c r="B141" s="188"/>
      <c r="C141" s="187"/>
      <c r="D141" s="177"/>
      <c r="E141" s="182"/>
      <c r="F141" s="177"/>
      <c r="G141" s="180"/>
    </row>
    <row r="142" spans="1:26" s="179" customFormat="1" ht="12">
      <c r="A142" s="177"/>
      <c r="B142" s="181" t="s">
        <v>299</v>
      </c>
      <c r="C142" s="189"/>
      <c r="D142" s="177"/>
      <c r="E142" s="190">
        <f>E134+E45</f>
        <v>405007299.88744545</v>
      </c>
      <c r="F142" s="191"/>
      <c r="G142" s="183"/>
      <c r="H142" s="183"/>
      <c r="I142" s="183"/>
      <c r="J142" s="183"/>
      <c r="K142" s="183"/>
      <c r="L142" s="183"/>
      <c r="M142" s="183"/>
      <c r="N142" s="183"/>
      <c r="O142" s="183"/>
      <c r="P142" s="183"/>
      <c r="Q142" s="183"/>
      <c r="R142" s="183"/>
      <c r="S142" s="183"/>
      <c r="T142" s="183"/>
      <c r="U142" s="183"/>
      <c r="V142" s="183"/>
      <c r="W142" s="183"/>
      <c r="X142" s="183"/>
      <c r="Y142" s="183"/>
    </row>
    <row r="143" spans="1:26" s="179" customFormat="1" ht="12">
      <c r="A143" s="177"/>
      <c r="B143" s="179" t="s">
        <v>294</v>
      </c>
      <c r="C143" s="192"/>
      <c r="D143" s="177"/>
      <c r="E143" s="190">
        <f>E136+E47</f>
        <v>256642416.47699732</v>
      </c>
      <c r="F143" s="191"/>
      <c r="G143" s="183"/>
      <c r="H143" s="183"/>
      <c r="I143" s="183"/>
      <c r="J143" s="183"/>
      <c r="K143" s="183"/>
      <c r="L143" s="183"/>
      <c r="M143" s="183"/>
      <c r="N143" s="183"/>
      <c r="O143" s="183"/>
      <c r="P143" s="183"/>
      <c r="Q143" s="183"/>
      <c r="R143" s="183"/>
      <c r="S143" s="183"/>
      <c r="T143" s="183"/>
      <c r="U143" s="183"/>
      <c r="V143" s="183"/>
      <c r="W143" s="183"/>
      <c r="X143" s="183"/>
      <c r="Y143" s="183"/>
    </row>
    <row r="144" spans="1:26" s="179" customFormat="1" ht="12">
      <c r="A144" s="177"/>
      <c r="B144" s="179" t="s">
        <v>295</v>
      </c>
      <c r="C144" s="192"/>
      <c r="D144" s="177"/>
      <c r="E144" s="190">
        <f>E138+E49</f>
        <v>146089092.08935434</v>
      </c>
      <c r="F144" s="191"/>
      <c r="G144" s="183"/>
      <c r="H144" s="183"/>
      <c r="I144" s="183"/>
      <c r="J144" s="183"/>
      <c r="K144" s="183"/>
      <c r="L144" s="183"/>
      <c r="M144" s="183"/>
      <c r="N144" s="183"/>
      <c r="O144" s="183"/>
      <c r="P144" s="183"/>
      <c r="Q144" s="183"/>
      <c r="R144" s="183"/>
      <c r="S144" s="183"/>
      <c r="T144" s="183"/>
      <c r="U144" s="183"/>
      <c r="V144" s="183"/>
      <c r="W144" s="183"/>
      <c r="X144" s="183"/>
      <c r="Y144" s="183"/>
    </row>
    <row r="145" spans="1:7" s="179" customFormat="1" ht="11.4">
      <c r="A145" s="177"/>
      <c r="B145" s="188"/>
      <c r="C145" s="193"/>
      <c r="D145" s="177"/>
      <c r="E145" s="182"/>
      <c r="F145" s="177"/>
      <c r="G145" s="180"/>
    </row>
    <row r="146" spans="1:7" s="179" customFormat="1" ht="11.4">
      <c r="A146" s="177"/>
      <c r="B146" s="181" t="s">
        <v>300</v>
      </c>
      <c r="D146" s="177"/>
      <c r="E146" s="184">
        <f>IRR(F140:Y140)</f>
        <v>0.78998336056284102</v>
      </c>
      <c r="F146" s="177"/>
      <c r="G146" s="194"/>
    </row>
    <row r="147" spans="1:7" s="179" customFormat="1" ht="11.4">
      <c r="A147" s="177"/>
      <c r="C147" s="177"/>
      <c r="D147" s="177"/>
      <c r="E147" s="182"/>
      <c r="F147" s="177"/>
      <c r="G147" s="180"/>
    </row>
    <row r="148" spans="1:7" s="179" customFormat="1" ht="11.4">
      <c r="A148" s="177"/>
      <c r="B148" s="181" t="s">
        <v>302</v>
      </c>
      <c r="C148" s="177"/>
      <c r="D148" s="177"/>
      <c r="E148" s="185">
        <f>E136/-E47</f>
        <v>1.8215391811791546</v>
      </c>
      <c r="F148" s="177"/>
    </row>
    <row r="149" spans="1:7" s="179" customFormat="1" ht="11.4">
      <c r="A149" s="177"/>
      <c r="B149" s="181" t="s">
        <v>303</v>
      </c>
      <c r="C149" s="177"/>
      <c r="D149" s="177"/>
      <c r="E149" s="185">
        <f>E138/-E49</f>
        <v>1.7214444563182552</v>
      </c>
      <c r="F149" s="177"/>
      <c r="G149" s="180"/>
    </row>
    <row r="150" spans="1:7" s="64" customFormat="1" ht="11.4">
      <c r="A150" s="51"/>
      <c r="B150" s="60"/>
      <c r="C150" s="88"/>
      <c r="D150" s="51"/>
      <c r="E150" s="140"/>
      <c r="F150" s="51"/>
      <c r="G150" s="68"/>
    </row>
    <row r="151" spans="1:7" s="64" customFormat="1" ht="11.4">
      <c r="A151" s="51"/>
      <c r="B151" s="60"/>
      <c r="C151" s="88"/>
      <c r="D151" s="51"/>
      <c r="E151" s="140"/>
      <c r="F151" s="51"/>
      <c r="G151" s="71"/>
    </row>
    <row r="152" spans="1:7" s="64" customFormat="1" ht="11.4">
      <c r="A152" s="51"/>
      <c r="B152" s="60"/>
      <c r="C152" s="51"/>
      <c r="D152" s="51"/>
      <c r="E152" s="140"/>
      <c r="F152" s="51"/>
      <c r="G152" s="68"/>
    </row>
    <row r="153" spans="1:7" s="64" customFormat="1" ht="12">
      <c r="A153" s="79"/>
      <c r="B153" s="61"/>
      <c r="C153" s="51"/>
      <c r="D153" s="51"/>
      <c r="E153" s="140"/>
      <c r="F153" s="51"/>
      <c r="G153" s="68"/>
    </row>
    <row r="154" spans="1:7" s="64" customFormat="1" ht="11.4">
      <c r="A154" s="51"/>
      <c r="B154" s="61"/>
      <c r="C154" s="51"/>
      <c r="D154" s="51"/>
      <c r="E154" s="140"/>
      <c r="F154" s="51"/>
      <c r="G154" s="68"/>
    </row>
    <row r="155" spans="1:7">
      <c r="A155" s="27"/>
      <c r="B155" s="60"/>
      <c r="C155" s="27"/>
      <c r="D155" s="27"/>
    </row>
    <row r="156" spans="1:7">
      <c r="A156" s="27"/>
      <c r="B156" s="51"/>
      <c r="C156" s="45"/>
      <c r="D156" s="45"/>
      <c r="E156" s="144"/>
      <c r="F156" s="45"/>
    </row>
    <row r="157" spans="1:7">
      <c r="A157" s="27"/>
      <c r="B157" s="51"/>
      <c r="C157" s="45"/>
      <c r="D157" s="45"/>
      <c r="E157" s="144"/>
      <c r="F157" s="45"/>
    </row>
    <row r="158" spans="1:7">
      <c r="A158" s="27"/>
      <c r="B158" s="51"/>
      <c r="C158" s="45"/>
      <c r="D158" s="45"/>
      <c r="E158" s="144"/>
      <c r="F158" s="45"/>
    </row>
    <row r="159" spans="1:7">
      <c r="A159" s="27"/>
      <c r="B159" s="62"/>
      <c r="C159" s="45"/>
      <c r="D159" s="45"/>
      <c r="E159" s="144"/>
      <c r="F159" s="45"/>
    </row>
    <row r="160" spans="1:7">
      <c r="A160" s="27"/>
      <c r="B160" s="62"/>
      <c r="C160" s="45"/>
      <c r="D160" s="45"/>
      <c r="E160" s="144"/>
      <c r="F160" s="45"/>
    </row>
    <row r="161" spans="1:6">
      <c r="A161" s="27"/>
      <c r="B161" s="62"/>
      <c r="C161" s="45"/>
      <c r="D161" s="45"/>
      <c r="E161" s="144"/>
      <c r="F161" s="45"/>
    </row>
    <row r="162" spans="1:6">
      <c r="A162" s="27"/>
      <c r="B162" s="62"/>
      <c r="C162" s="45"/>
      <c r="D162" s="45"/>
      <c r="E162" s="144"/>
      <c r="F162" s="45"/>
    </row>
    <row r="163" spans="1:6">
      <c r="A163" s="27"/>
      <c r="B163" s="62"/>
      <c r="C163" s="45"/>
      <c r="D163" s="45"/>
      <c r="E163" s="144"/>
      <c r="F163" s="45"/>
    </row>
    <row r="164" spans="1:6">
      <c r="A164" s="27"/>
      <c r="B164" s="62"/>
      <c r="C164" s="45"/>
      <c r="D164" s="45"/>
      <c r="E164" s="144"/>
      <c r="F164" s="45"/>
    </row>
    <row r="165" spans="1:6">
      <c r="A165" s="27"/>
      <c r="B165" s="62"/>
      <c r="C165" s="45"/>
      <c r="D165" s="45"/>
      <c r="E165" s="144"/>
      <c r="F165" s="45"/>
    </row>
    <row r="166" spans="1:6">
      <c r="A166" s="27"/>
      <c r="B166" s="62"/>
      <c r="C166" s="45"/>
      <c r="D166" s="45"/>
      <c r="E166" s="144"/>
      <c r="F166" s="45"/>
    </row>
    <row r="167" spans="1:6">
      <c r="A167" s="27"/>
      <c r="B167" s="62"/>
      <c r="C167" s="45"/>
      <c r="D167" s="45"/>
      <c r="E167" s="144"/>
      <c r="F167" s="45"/>
    </row>
    <row r="168" spans="1:6">
      <c r="A168" s="27"/>
      <c r="B168" s="62"/>
      <c r="C168" s="45"/>
      <c r="D168" s="45"/>
      <c r="E168" s="144"/>
      <c r="F168" s="45"/>
    </row>
    <row r="169" spans="1:6">
      <c r="A169" s="27"/>
      <c r="B169" s="62"/>
      <c r="C169" s="45"/>
      <c r="D169" s="45"/>
      <c r="E169" s="144"/>
      <c r="F169" s="45"/>
    </row>
    <row r="170" spans="1:6">
      <c r="A170" s="27"/>
      <c r="B170" s="62"/>
      <c r="C170" s="45"/>
      <c r="D170" s="45"/>
      <c r="E170" s="144"/>
      <c r="F170" s="45"/>
    </row>
    <row r="171" spans="1:6">
      <c r="A171" s="27"/>
      <c r="B171" s="62"/>
      <c r="C171" s="45"/>
      <c r="D171" s="45"/>
      <c r="E171" s="144"/>
      <c r="F171" s="45"/>
    </row>
    <row r="172" spans="1:6">
      <c r="A172" s="27"/>
      <c r="B172" s="62"/>
      <c r="C172" s="45"/>
      <c r="D172" s="45"/>
      <c r="E172" s="144"/>
      <c r="F172" s="45"/>
    </row>
    <row r="173" spans="1:6">
      <c r="A173" s="27"/>
      <c r="B173" s="62"/>
      <c r="C173" s="45"/>
      <c r="D173" s="45"/>
      <c r="E173" s="144"/>
      <c r="F173" s="45"/>
    </row>
    <row r="174" spans="1:6">
      <c r="A174" s="27"/>
      <c r="B174" s="62"/>
      <c r="C174" s="45"/>
      <c r="D174" s="45"/>
      <c r="E174" s="144"/>
      <c r="F174" s="45"/>
    </row>
    <row r="175" spans="1:6">
      <c r="A175" s="27"/>
      <c r="B175" s="62"/>
      <c r="C175" s="45"/>
      <c r="D175" s="45"/>
      <c r="E175" s="144"/>
      <c r="F175" s="45"/>
    </row>
    <row r="176" spans="1:6">
      <c r="A176" s="27"/>
      <c r="B176" s="62"/>
      <c r="C176" s="45"/>
      <c r="D176" s="45"/>
      <c r="E176" s="144"/>
      <c r="F176" s="45"/>
    </row>
    <row r="177" spans="1:6">
      <c r="A177" s="27"/>
      <c r="B177" s="62"/>
      <c r="C177" s="45"/>
      <c r="D177" s="45"/>
      <c r="E177" s="144"/>
      <c r="F177" s="45"/>
    </row>
    <row r="178" spans="1:6">
      <c r="A178" s="27"/>
      <c r="B178" s="62"/>
      <c r="C178" s="42"/>
      <c r="D178" s="46"/>
      <c r="E178" s="145"/>
      <c r="F178" s="46"/>
    </row>
    <row r="179" spans="1:6">
      <c r="A179" s="27"/>
      <c r="B179" s="62"/>
      <c r="C179" s="27"/>
      <c r="D179" s="27"/>
    </row>
    <row r="180" spans="1:6">
      <c r="A180" s="27"/>
      <c r="B180" s="62"/>
      <c r="C180" s="27"/>
      <c r="D180" s="27"/>
    </row>
    <row r="181" spans="1:6">
      <c r="A181" s="27"/>
      <c r="B181" s="51"/>
      <c r="C181" s="27"/>
      <c r="D181" s="27"/>
    </row>
    <row r="182" spans="1:6">
      <c r="A182" s="27"/>
      <c r="B182" s="51"/>
      <c r="C182" s="27"/>
      <c r="D182" s="27"/>
    </row>
    <row r="183" spans="1:6">
      <c r="A183" s="27"/>
      <c r="B183" s="51"/>
      <c r="C183" s="27"/>
      <c r="D183" s="27"/>
    </row>
    <row r="184" spans="1:6">
      <c r="A184" s="27"/>
      <c r="B184" s="51"/>
      <c r="C184" s="27"/>
      <c r="D184" s="27"/>
    </row>
    <row r="185" spans="1:6">
      <c r="A185" s="27"/>
      <c r="B185" s="51"/>
      <c r="C185" s="27"/>
      <c r="D185" s="27"/>
    </row>
    <row r="186" spans="1:6">
      <c r="A186" s="39"/>
      <c r="B186" s="51"/>
      <c r="C186" s="27"/>
      <c r="D186" s="27"/>
    </row>
    <row r="187" spans="1:6">
      <c r="A187" s="27"/>
      <c r="B187" s="51"/>
      <c r="C187" s="47"/>
      <c r="D187" s="27"/>
    </row>
    <row r="188" spans="1:6">
      <c r="A188" s="27"/>
      <c r="B188" s="51"/>
      <c r="C188" s="43"/>
      <c r="D188" s="27"/>
    </row>
    <row r="189" spans="1:6">
      <c r="A189" s="27"/>
      <c r="B189" s="51"/>
      <c r="C189" s="43"/>
      <c r="D189" s="27"/>
    </row>
    <row r="190" spans="1:6">
      <c r="A190" s="27"/>
      <c r="B190" s="63"/>
      <c r="C190" s="43"/>
      <c r="D190" s="27"/>
    </row>
    <row r="191" spans="1:6">
      <c r="A191" s="27"/>
      <c r="B191" s="60"/>
      <c r="C191" s="43"/>
      <c r="D191" s="27"/>
    </row>
    <row r="192" spans="1:6">
      <c r="A192" s="27"/>
      <c r="B192" s="60"/>
      <c r="C192" s="43"/>
      <c r="D192" s="27"/>
    </row>
    <row r="193" spans="1:6">
      <c r="A193" s="27"/>
      <c r="B193" s="60"/>
      <c r="C193" s="27"/>
      <c r="D193" s="27"/>
    </row>
    <row r="194" spans="1:6">
      <c r="A194" s="27"/>
      <c r="B194" s="60"/>
      <c r="C194" s="42"/>
      <c r="D194" s="42"/>
      <c r="E194" s="146"/>
      <c r="F194" s="42"/>
    </row>
    <row r="195" spans="1:6">
      <c r="A195" s="27"/>
      <c r="B195" s="60"/>
      <c r="C195" s="42"/>
      <c r="D195" s="42"/>
      <c r="E195" s="146"/>
      <c r="F195" s="42"/>
    </row>
    <row r="196" spans="1:6">
      <c r="A196" s="27"/>
      <c r="B196" s="51"/>
      <c r="C196" s="42"/>
      <c r="D196" s="42"/>
      <c r="E196" s="146"/>
      <c r="F196" s="42"/>
    </row>
    <row r="197" spans="1:6">
      <c r="A197" s="27"/>
      <c r="B197" s="59"/>
      <c r="C197" s="27"/>
      <c r="D197" s="27"/>
    </row>
    <row r="198" spans="1:6">
      <c r="A198" s="27"/>
      <c r="B198" s="59"/>
      <c r="C198" s="27"/>
      <c r="D198" s="27"/>
    </row>
    <row r="199" spans="1:6">
      <c r="A199" s="27"/>
      <c r="B199" s="59"/>
      <c r="C199" s="27"/>
      <c r="D199" s="27"/>
    </row>
    <row r="200" spans="1:6">
      <c r="A200" s="27"/>
      <c r="B200" s="51"/>
    </row>
    <row r="201" spans="1:6">
      <c r="A201" s="27"/>
      <c r="B201" s="51"/>
    </row>
    <row r="202" spans="1:6">
      <c r="A202" s="27"/>
      <c r="B202" s="51"/>
    </row>
    <row r="203" spans="1:6">
      <c r="A203" s="27"/>
    </row>
    <row r="204" spans="1:6">
      <c r="A204" s="27"/>
    </row>
    <row r="205" spans="1:6">
      <c r="A205" s="27"/>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1"/>
  <sheetViews>
    <sheetView workbookViewId="0">
      <selection activeCell="E41" sqref="E41"/>
    </sheetView>
  </sheetViews>
  <sheetFormatPr defaultRowHeight="13.2"/>
  <cols>
    <col min="1" max="1" width="36.5546875" bestFit="1" customWidth="1"/>
    <col min="2" max="2" width="22.44140625" bestFit="1" customWidth="1"/>
    <col min="3" max="3" width="19.6640625" bestFit="1" customWidth="1"/>
    <col min="4" max="4" width="10.88671875" bestFit="1" customWidth="1"/>
    <col min="5" max="5" width="39" bestFit="1" customWidth="1"/>
    <col min="6" max="6" width="20.44140625" bestFit="1" customWidth="1"/>
    <col min="7" max="7" width="8.109375" customWidth="1"/>
    <col min="8" max="8" width="10" customWidth="1"/>
    <col min="9" max="9" width="14.44140625" bestFit="1" customWidth="1"/>
    <col min="10" max="10" width="13.5546875" bestFit="1" customWidth="1"/>
    <col min="11" max="11" width="9.44140625" bestFit="1" customWidth="1"/>
    <col min="12" max="12" width="21.6640625" bestFit="1" customWidth="1"/>
    <col min="13" max="13" width="14.44140625" bestFit="1" customWidth="1"/>
    <col min="14" max="14" width="11.109375" bestFit="1" customWidth="1"/>
  </cols>
  <sheetData>
    <row r="1" spans="1:12">
      <c r="A1" s="100"/>
      <c r="B1" s="248" t="s">
        <v>337</v>
      </c>
      <c r="C1" s="249"/>
      <c r="D1" s="249"/>
      <c r="E1" s="249"/>
      <c r="F1" s="250"/>
      <c r="G1" s="251" t="s">
        <v>341</v>
      </c>
      <c r="H1" s="251"/>
      <c r="I1" s="251"/>
      <c r="J1" s="251"/>
      <c r="K1" s="251"/>
      <c r="L1" s="251"/>
    </row>
    <row r="2" spans="1:12">
      <c r="A2" s="100"/>
      <c r="B2" s="205" t="s">
        <v>335</v>
      </c>
      <c r="C2" s="205" t="s">
        <v>336</v>
      </c>
      <c r="D2" s="205" t="s">
        <v>90</v>
      </c>
      <c r="E2" s="205" t="s">
        <v>64</v>
      </c>
      <c r="F2" s="205" t="s">
        <v>342</v>
      </c>
      <c r="G2" s="23" t="s">
        <v>338</v>
      </c>
      <c r="H2" s="23" t="s">
        <v>64</v>
      </c>
      <c r="I2" s="23" t="s">
        <v>339</v>
      </c>
      <c r="J2" s="23" t="s">
        <v>340</v>
      </c>
      <c r="K2" s="23" t="s">
        <v>99</v>
      </c>
      <c r="L2" s="23" t="s">
        <v>343</v>
      </c>
    </row>
    <row r="3" spans="1:12">
      <c r="A3" s="207" t="s">
        <v>329</v>
      </c>
      <c r="B3" s="206">
        <v>5551</v>
      </c>
      <c r="C3" s="206">
        <v>4500</v>
      </c>
      <c r="D3" s="206">
        <f>IF(A3="XS",26064,IF(A3="S",34801,IF(A3="M",43539,IF(A3="L",52276,0))))</f>
        <v>26064</v>
      </c>
      <c r="E3" s="206">
        <v>4</v>
      </c>
      <c r="F3" s="206">
        <f>155*12*E3</f>
        <v>7440</v>
      </c>
      <c r="G3" s="1">
        <v>49</v>
      </c>
      <c r="H3" s="1">
        <f>G3*E3</f>
        <v>196</v>
      </c>
      <c r="I3" s="1">
        <f>G3*B3</f>
        <v>271999</v>
      </c>
      <c r="J3" s="1">
        <f>G3*D3</f>
        <v>1277136</v>
      </c>
      <c r="K3" s="1">
        <f>I3+J3</f>
        <v>1549135</v>
      </c>
      <c r="L3" s="1">
        <f>F3*G3</f>
        <v>364560</v>
      </c>
    </row>
    <row r="4" spans="1:12">
      <c r="A4" s="207" t="s">
        <v>330</v>
      </c>
      <c r="B4" s="206">
        <v>5551</v>
      </c>
      <c r="C4" s="206">
        <v>4500</v>
      </c>
      <c r="D4" s="206">
        <f t="shared" ref="D4:D6" si="0">IF(A4="XS",26064,IF(A4="S",34801,IF(A4="M",43539,IF(A4="L",52276,0))))</f>
        <v>34801</v>
      </c>
      <c r="E4" s="206">
        <v>7</v>
      </c>
      <c r="F4" s="206">
        <f t="shared" ref="F4:F6" si="1">155*12*E4</f>
        <v>13020</v>
      </c>
      <c r="G4" s="1">
        <v>160</v>
      </c>
      <c r="H4" s="1">
        <f t="shared" ref="H4:H6" si="2">G4*E4</f>
        <v>1120</v>
      </c>
      <c r="I4" s="1">
        <f t="shared" ref="I4:I6" si="3">G4*B4</f>
        <v>888160</v>
      </c>
      <c r="J4" s="1">
        <f t="shared" ref="J4:J6" si="4">G4*D4</f>
        <v>5568160</v>
      </c>
      <c r="K4" s="1">
        <f t="shared" ref="K4:K6" si="5">I4+J4</f>
        <v>6456320</v>
      </c>
      <c r="L4" s="1">
        <f t="shared" ref="L4:L6" si="6">F4*G4</f>
        <v>2083200</v>
      </c>
    </row>
    <row r="5" spans="1:12">
      <c r="A5" s="207" t="s">
        <v>331</v>
      </c>
      <c r="B5" s="206">
        <v>5551</v>
      </c>
      <c r="C5" s="206">
        <v>4500</v>
      </c>
      <c r="D5" s="206">
        <f t="shared" si="0"/>
        <v>43539</v>
      </c>
      <c r="E5" s="206">
        <v>10</v>
      </c>
      <c r="F5" s="206">
        <f t="shared" si="1"/>
        <v>18600</v>
      </c>
      <c r="G5" s="1">
        <v>106</v>
      </c>
      <c r="H5" s="1">
        <f t="shared" si="2"/>
        <v>1060</v>
      </c>
      <c r="I5" s="1">
        <f t="shared" si="3"/>
        <v>588406</v>
      </c>
      <c r="J5" s="1">
        <f t="shared" si="4"/>
        <v>4615134</v>
      </c>
      <c r="K5" s="1">
        <f t="shared" si="5"/>
        <v>5203540</v>
      </c>
      <c r="L5" s="1">
        <f t="shared" si="6"/>
        <v>1971600</v>
      </c>
    </row>
    <row r="6" spans="1:12">
      <c r="A6" s="213" t="s">
        <v>332</v>
      </c>
      <c r="B6" s="214">
        <v>5551</v>
      </c>
      <c r="C6" s="214">
        <v>4500</v>
      </c>
      <c r="D6" s="214">
        <f t="shared" si="0"/>
        <v>52276</v>
      </c>
      <c r="E6" s="214">
        <v>13</v>
      </c>
      <c r="F6" s="214">
        <f t="shared" si="1"/>
        <v>24180</v>
      </c>
      <c r="G6" s="1">
        <v>15</v>
      </c>
      <c r="H6" s="1">
        <f t="shared" si="2"/>
        <v>195</v>
      </c>
      <c r="I6" s="1">
        <f t="shared" si="3"/>
        <v>83265</v>
      </c>
      <c r="J6" s="1">
        <f t="shared" si="4"/>
        <v>784140</v>
      </c>
      <c r="K6" s="1">
        <f t="shared" si="5"/>
        <v>867405</v>
      </c>
      <c r="L6" s="1">
        <f t="shared" si="6"/>
        <v>362700</v>
      </c>
    </row>
    <row r="7" spans="1:12">
      <c r="A7" s="215"/>
      <c r="B7" s="216"/>
      <c r="C7" s="216"/>
      <c r="D7" s="216"/>
      <c r="E7" s="216"/>
      <c r="F7" s="216"/>
      <c r="G7" s="100"/>
      <c r="H7" s="100"/>
      <c r="I7" s="100"/>
      <c r="J7" s="100"/>
      <c r="K7" s="100"/>
      <c r="L7" s="100"/>
    </row>
    <row r="8" spans="1:12">
      <c r="A8" s="211" t="s">
        <v>349</v>
      </c>
      <c r="B8" s="212"/>
      <c r="C8" s="212"/>
      <c r="D8" s="212"/>
      <c r="E8" s="212"/>
      <c r="F8" s="212"/>
    </row>
    <row r="9" spans="1:12">
      <c r="A9" s="211" t="s">
        <v>346</v>
      </c>
      <c r="B9" s="212">
        <f>'[17]base table'!$D$6+'[17]base table'!$E$6</f>
        <v>602314</v>
      </c>
      <c r="C9" s="212"/>
      <c r="D9" s="212"/>
      <c r="E9" s="212"/>
      <c r="F9" s="212"/>
    </row>
    <row r="10" spans="1:12" ht="12.75" customHeight="1">
      <c r="A10" s="211" t="s">
        <v>347</v>
      </c>
      <c r="B10">
        <f>SUM(K3:K6)-B9</f>
        <v>13474086</v>
      </c>
    </row>
    <row r="11" spans="1:12" ht="12.75" customHeight="1">
      <c r="A11" s="211" t="s">
        <v>348</v>
      </c>
      <c r="B11">
        <f>(C5+D5)/10</f>
        <v>4803.8999999999996</v>
      </c>
    </row>
    <row r="12" spans="1:12">
      <c r="A12" s="211" t="s">
        <v>345</v>
      </c>
      <c r="B12" s="212">
        <v>1003</v>
      </c>
    </row>
    <row r="14" spans="1:12">
      <c r="A14" s="211" t="s">
        <v>350</v>
      </c>
      <c r="B14">
        <f>155*12</f>
        <v>1860</v>
      </c>
    </row>
    <row r="17" spans="1:2">
      <c r="A17" s="27"/>
    </row>
    <row r="18" spans="1:2">
      <c r="A18" s="27"/>
      <c r="B18" s="27"/>
    </row>
    <row r="19" spans="1:2">
      <c r="A19" s="27"/>
      <c r="B19" s="27"/>
    </row>
    <row r="20" spans="1:2">
      <c r="A20" s="27"/>
      <c r="B20" s="27"/>
    </row>
    <row r="21" spans="1:2">
      <c r="A21" s="27"/>
      <c r="B21" s="27"/>
    </row>
  </sheetData>
  <mergeCells count="2">
    <mergeCell ref="B1:F1"/>
    <mergeCell ref="G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X23"/>
  <sheetViews>
    <sheetView workbookViewId="0">
      <pane xSplit="1" ySplit="2" topLeftCell="D3" activePane="bottomRight" state="frozen"/>
      <selection pane="topRight" activeCell="B1" sqref="B1"/>
      <selection pane="bottomLeft" activeCell="A3" sqref="A3"/>
      <selection pane="bottomRight" activeCell="D9" sqref="D9"/>
    </sheetView>
  </sheetViews>
  <sheetFormatPr defaultRowHeight="13.2"/>
  <cols>
    <col min="1" max="1" width="44.33203125" bestFit="1" customWidth="1"/>
    <col min="2" max="2" width="11.109375" bestFit="1" customWidth="1"/>
    <col min="3" max="4" width="11.109375" customWidth="1"/>
    <col min="5" max="5" width="14.33203125" bestFit="1" customWidth="1"/>
    <col min="6" max="6" width="11.5546875" bestFit="1" customWidth="1"/>
    <col min="7" max="8" width="11.33203125" bestFit="1" customWidth="1"/>
    <col min="9" max="12" width="10.5546875" bestFit="1" customWidth="1"/>
    <col min="13" max="19" width="12.33203125" bestFit="1" customWidth="1"/>
    <col min="20" max="21" width="11.5546875" bestFit="1" customWidth="1"/>
    <col min="22" max="23" width="11.33203125" bestFit="1" customWidth="1"/>
    <col min="24" max="24" width="40.6640625" style="2" customWidth="1"/>
  </cols>
  <sheetData>
    <row r="1" spans="1:24" s="96" customFormat="1">
      <c r="C1" s="96">
        <v>2010</v>
      </c>
      <c r="D1" s="94">
        <v>2011</v>
      </c>
      <c r="E1" s="94">
        <v>2012</v>
      </c>
      <c r="F1" s="94">
        <v>2013</v>
      </c>
      <c r="G1" s="94">
        <v>2014</v>
      </c>
      <c r="H1" s="94">
        <v>2015</v>
      </c>
      <c r="I1" s="94">
        <v>2016</v>
      </c>
      <c r="J1" s="94">
        <v>2017</v>
      </c>
      <c r="K1" s="94">
        <v>2018</v>
      </c>
      <c r="L1" s="94">
        <v>2019</v>
      </c>
      <c r="M1" s="94">
        <v>2020</v>
      </c>
      <c r="N1" s="94">
        <v>2021</v>
      </c>
      <c r="O1" s="94">
        <v>2022</v>
      </c>
      <c r="P1" s="94">
        <v>2023</v>
      </c>
      <c r="Q1" s="94">
        <v>2024</v>
      </c>
      <c r="R1" s="94">
        <v>2025</v>
      </c>
      <c r="S1" s="94">
        <v>2026</v>
      </c>
      <c r="T1" s="94">
        <v>2027</v>
      </c>
      <c r="U1" s="94">
        <v>2028</v>
      </c>
      <c r="V1" s="94">
        <v>2029</v>
      </c>
      <c r="W1" s="94">
        <v>2030</v>
      </c>
      <c r="X1" s="97"/>
    </row>
    <row r="2" spans="1:24" s="96" customFormat="1">
      <c r="B2" s="96" t="s">
        <v>233</v>
      </c>
      <c r="D2" s="94" t="s">
        <v>22</v>
      </c>
      <c r="E2" s="94" t="s">
        <v>23</v>
      </c>
      <c r="F2" s="94" t="s">
        <v>24</v>
      </c>
      <c r="G2" s="94" t="s">
        <v>25</v>
      </c>
      <c r="H2" s="94" t="s">
        <v>26</v>
      </c>
      <c r="I2" s="94" t="s">
        <v>27</v>
      </c>
      <c r="J2" s="94" t="s">
        <v>28</v>
      </c>
      <c r="K2" s="94" t="s">
        <v>29</v>
      </c>
      <c r="L2" s="94" t="s">
        <v>30</v>
      </c>
      <c r="M2" s="94" t="s">
        <v>31</v>
      </c>
      <c r="N2" s="94" t="s">
        <v>32</v>
      </c>
      <c r="O2" s="94" t="s">
        <v>33</v>
      </c>
      <c r="P2" s="94" t="s">
        <v>34</v>
      </c>
      <c r="Q2" s="94" t="s">
        <v>35</v>
      </c>
      <c r="R2" s="94" t="s">
        <v>36</v>
      </c>
      <c r="S2" s="94" t="s">
        <v>37</v>
      </c>
      <c r="T2" s="94" t="s">
        <v>38</v>
      </c>
      <c r="U2" s="94" t="s">
        <v>39</v>
      </c>
      <c r="V2" s="94" t="s">
        <v>40</v>
      </c>
      <c r="W2" s="94" t="s">
        <v>174</v>
      </c>
      <c r="X2" s="97" t="s">
        <v>54</v>
      </c>
    </row>
    <row r="3" spans="1:24" s="104" customFormat="1">
      <c r="A3" s="44" t="s">
        <v>333</v>
      </c>
      <c r="C3" s="204"/>
      <c r="D3" s="204">
        <v>1000</v>
      </c>
      <c r="E3" s="204">
        <f>D3+(D3*0.025)</f>
        <v>1025</v>
      </c>
      <c r="F3" s="208">
        <f t="shared" ref="F3:W3" si="0">E3+(E3*0.025)</f>
        <v>1050.625</v>
      </c>
      <c r="G3" s="208">
        <f t="shared" si="0"/>
        <v>1076.890625</v>
      </c>
      <c r="H3" s="208">
        <f t="shared" si="0"/>
        <v>1103.8128906249999</v>
      </c>
      <c r="I3" s="208">
        <f t="shared" si="0"/>
        <v>1131.408212890625</v>
      </c>
      <c r="J3" s="208">
        <f t="shared" si="0"/>
        <v>1159.6934182128907</v>
      </c>
      <c r="K3" s="208">
        <f t="shared" si="0"/>
        <v>1188.685753668213</v>
      </c>
      <c r="L3" s="208">
        <f t="shared" si="0"/>
        <v>1218.4028975099184</v>
      </c>
      <c r="M3" s="208">
        <f t="shared" si="0"/>
        <v>1248.8629699476664</v>
      </c>
      <c r="N3" s="208">
        <f t="shared" si="0"/>
        <v>1280.0845441963581</v>
      </c>
      <c r="O3" s="208">
        <f t="shared" si="0"/>
        <v>1312.0866578012672</v>
      </c>
      <c r="P3" s="208">
        <f t="shared" si="0"/>
        <v>1344.8888242462988</v>
      </c>
      <c r="Q3" s="208">
        <f t="shared" si="0"/>
        <v>1378.5110448524563</v>
      </c>
      <c r="R3" s="208">
        <f t="shared" si="0"/>
        <v>1412.9738209737677</v>
      </c>
      <c r="S3" s="208">
        <f t="shared" si="0"/>
        <v>1448.2981664981119</v>
      </c>
      <c r="T3" s="208">
        <f t="shared" si="0"/>
        <v>1484.5056206605648</v>
      </c>
      <c r="U3" s="208">
        <f t="shared" si="0"/>
        <v>1521.6182611770789</v>
      </c>
      <c r="V3" s="208">
        <f t="shared" si="0"/>
        <v>1559.658717706506</v>
      </c>
      <c r="W3" s="208">
        <f t="shared" si="0"/>
        <v>1598.6501856491686</v>
      </c>
    </row>
    <row r="4" spans="1:24" s="104" customFormat="1">
      <c r="A4" s="44"/>
      <c r="C4" s="204"/>
      <c r="D4" s="204"/>
      <c r="E4" s="204"/>
      <c r="F4" s="204"/>
      <c r="G4" s="204"/>
      <c r="H4" s="204"/>
      <c r="I4" s="204"/>
      <c r="J4" s="204"/>
      <c r="K4" s="204"/>
      <c r="L4" s="204"/>
      <c r="M4" s="204"/>
      <c r="N4" s="204"/>
      <c r="O4" s="204"/>
      <c r="P4" s="204"/>
      <c r="Q4" s="204"/>
      <c r="R4" s="204"/>
      <c r="S4" s="204"/>
      <c r="T4" s="204"/>
      <c r="U4" s="204"/>
      <c r="V4" s="204"/>
      <c r="W4" s="204"/>
    </row>
    <row r="5" spans="1:24" s="104" customFormat="1">
      <c r="A5" s="39" t="s">
        <v>357</v>
      </c>
      <c r="C5" s="204"/>
      <c r="D5" s="204"/>
      <c r="E5" s="204"/>
      <c r="F5" s="204"/>
      <c r="G5" s="204"/>
      <c r="H5" s="204"/>
      <c r="I5" s="204"/>
      <c r="J5" s="204"/>
      <c r="K5" s="204"/>
      <c r="L5" s="204"/>
      <c r="M5" s="204"/>
      <c r="N5" s="204"/>
      <c r="O5" s="204"/>
      <c r="P5" s="204"/>
      <c r="Q5" s="204"/>
      <c r="R5" s="204"/>
      <c r="S5" s="204"/>
      <c r="T5" s="204"/>
      <c r="U5" s="204"/>
      <c r="V5" s="204"/>
      <c r="W5" s="204"/>
    </row>
    <row r="6" spans="1:24">
      <c r="A6" s="217" t="s">
        <v>149</v>
      </c>
      <c r="D6">
        <v>2.5</v>
      </c>
      <c r="E6" s="37">
        <v>6</v>
      </c>
      <c r="F6" s="37">
        <f>(E6*0.05)+E6</f>
        <v>6.3</v>
      </c>
      <c r="G6" s="37">
        <f t="shared" ref="G6:W6" si="1">(F6*0.05)+F6</f>
        <v>6.6150000000000002</v>
      </c>
      <c r="H6" s="37">
        <f t="shared" si="1"/>
        <v>6.9457500000000003</v>
      </c>
      <c r="I6" s="37">
        <f t="shared" si="1"/>
        <v>7.2930375000000005</v>
      </c>
      <c r="J6" s="37">
        <f t="shared" si="1"/>
        <v>7.6576893750000004</v>
      </c>
      <c r="K6" s="37">
        <f t="shared" si="1"/>
        <v>8.0405738437499998</v>
      </c>
      <c r="L6" s="37">
        <f t="shared" si="1"/>
        <v>8.4426025359374997</v>
      </c>
      <c r="M6" s="37">
        <f t="shared" si="1"/>
        <v>8.8647326627343741</v>
      </c>
      <c r="N6" s="37">
        <f t="shared" si="1"/>
        <v>9.3079692958710929</v>
      </c>
      <c r="O6" s="37">
        <f t="shared" si="1"/>
        <v>9.7733677606646481</v>
      </c>
      <c r="P6" s="37">
        <f t="shared" si="1"/>
        <v>10.262036148697881</v>
      </c>
      <c r="Q6" s="37">
        <f t="shared" si="1"/>
        <v>10.775137956132776</v>
      </c>
      <c r="R6" s="37">
        <f t="shared" si="1"/>
        <v>11.313894853939415</v>
      </c>
      <c r="S6" s="37">
        <f t="shared" si="1"/>
        <v>11.879589596636386</v>
      </c>
      <c r="T6" s="37">
        <f t="shared" si="1"/>
        <v>12.473569076468205</v>
      </c>
      <c r="U6" s="37">
        <f t="shared" si="1"/>
        <v>13.097247530291616</v>
      </c>
      <c r="V6" s="37">
        <f t="shared" si="1"/>
        <v>13.752109906806197</v>
      </c>
      <c r="W6" s="37">
        <f t="shared" si="1"/>
        <v>14.439715402146508</v>
      </c>
    </row>
    <row r="7" spans="1:24">
      <c r="A7" s="218" t="s">
        <v>65</v>
      </c>
      <c r="D7" s="37">
        <f>D3*D6</f>
        <v>2500</v>
      </c>
      <c r="E7" s="37">
        <f t="shared" ref="E7:W7" si="2">E3*E6</f>
        <v>6150</v>
      </c>
      <c r="F7" s="37">
        <f t="shared" si="2"/>
        <v>6618.9375</v>
      </c>
      <c r="G7" s="37">
        <f t="shared" si="2"/>
        <v>7123.6314843750006</v>
      </c>
      <c r="H7" s="37">
        <f t="shared" si="2"/>
        <v>7666.8083850585936</v>
      </c>
      <c r="I7" s="37">
        <f t="shared" si="2"/>
        <v>8251.4025244193126</v>
      </c>
      <c r="J7" s="37">
        <f t="shared" si="2"/>
        <v>8880.5719669062855</v>
      </c>
      <c r="K7" s="37">
        <f t="shared" si="2"/>
        <v>9557.7155793828897</v>
      </c>
      <c r="L7" s="37">
        <f t="shared" si="2"/>
        <v>10286.491392310834</v>
      </c>
      <c r="M7" s="37">
        <f t="shared" si="2"/>
        <v>11070.836360974536</v>
      </c>
      <c r="N7" s="37">
        <f t="shared" si="2"/>
        <v>11914.987633498844</v>
      </c>
      <c r="O7" s="37">
        <f t="shared" si="2"/>
        <v>12823.505440553134</v>
      </c>
      <c r="P7" s="37">
        <f t="shared" si="2"/>
        <v>13801.297730395308</v>
      </c>
      <c r="Q7" s="37">
        <f t="shared" si="2"/>
        <v>14853.646682337952</v>
      </c>
      <c r="R7" s="37">
        <f t="shared" si="2"/>
        <v>15986.237241866222</v>
      </c>
      <c r="S7" s="37">
        <f t="shared" si="2"/>
        <v>17205.187831558524</v>
      </c>
      <c r="T7" s="37">
        <f t="shared" si="2"/>
        <v>18517.08340371486</v>
      </c>
      <c r="U7" s="37">
        <f t="shared" si="2"/>
        <v>19929.01101324812</v>
      </c>
      <c r="V7" s="37">
        <f t="shared" si="2"/>
        <v>21448.598103008291</v>
      </c>
      <c r="W7" s="37">
        <f t="shared" si="2"/>
        <v>23084.053708362673</v>
      </c>
      <c r="X7" s="2" t="s">
        <v>163</v>
      </c>
    </row>
    <row r="8" spans="1:24">
      <c r="A8" s="218" t="s">
        <v>110</v>
      </c>
      <c r="B8" s="147">
        <f>SUM(E8:W8)*365</f>
        <v>178974102.9068391</v>
      </c>
      <c r="C8" s="147"/>
      <c r="D8" s="37">
        <f>D7*2</f>
        <v>5000</v>
      </c>
      <c r="E8" s="37">
        <f t="shared" ref="E8:W8" si="3">E7*2</f>
        <v>12300</v>
      </c>
      <c r="F8" s="37">
        <f t="shared" si="3"/>
        <v>13237.875</v>
      </c>
      <c r="G8" s="37">
        <f t="shared" si="3"/>
        <v>14247.262968750001</v>
      </c>
      <c r="H8" s="37">
        <f t="shared" si="3"/>
        <v>15333.616770117187</v>
      </c>
      <c r="I8" s="37">
        <f t="shared" si="3"/>
        <v>16502.805048838625</v>
      </c>
      <c r="J8" s="37">
        <f t="shared" si="3"/>
        <v>17761.143933812571</v>
      </c>
      <c r="K8" s="37">
        <f t="shared" si="3"/>
        <v>19115.431158765779</v>
      </c>
      <c r="L8" s="37">
        <f t="shared" si="3"/>
        <v>20572.982784621669</v>
      </c>
      <c r="M8" s="37">
        <f t="shared" si="3"/>
        <v>22141.672721949071</v>
      </c>
      <c r="N8" s="37">
        <f t="shared" si="3"/>
        <v>23829.975266997688</v>
      </c>
      <c r="O8" s="37">
        <f t="shared" si="3"/>
        <v>25647.010881106267</v>
      </c>
      <c r="P8" s="37">
        <f t="shared" si="3"/>
        <v>27602.595460790617</v>
      </c>
      <c r="Q8" s="37">
        <f t="shared" si="3"/>
        <v>29707.293364675905</v>
      </c>
      <c r="R8" s="37">
        <f t="shared" si="3"/>
        <v>31972.474483732443</v>
      </c>
      <c r="S8" s="37">
        <f t="shared" si="3"/>
        <v>34410.375663117047</v>
      </c>
      <c r="T8" s="37">
        <f t="shared" si="3"/>
        <v>37034.166807429719</v>
      </c>
      <c r="U8" s="37">
        <f t="shared" si="3"/>
        <v>39858.022026496241</v>
      </c>
      <c r="V8" s="37">
        <f t="shared" si="3"/>
        <v>42897.196206016582</v>
      </c>
      <c r="W8" s="37">
        <f t="shared" si="3"/>
        <v>46168.107416725346</v>
      </c>
      <c r="X8" s="2" t="s">
        <v>87</v>
      </c>
    </row>
    <row r="9" spans="1:24">
      <c r="A9" s="218" t="s">
        <v>114</v>
      </c>
      <c r="D9" s="76">
        <v>1.5</v>
      </c>
      <c r="E9" s="76">
        <v>1.5</v>
      </c>
      <c r="F9" s="76">
        <v>1.5</v>
      </c>
      <c r="G9" s="76">
        <v>1.5</v>
      </c>
      <c r="H9" s="76">
        <v>1.5</v>
      </c>
      <c r="I9" s="76">
        <v>1.5</v>
      </c>
      <c r="J9" s="76">
        <v>1.5</v>
      </c>
      <c r="K9" s="76">
        <v>1.5</v>
      </c>
      <c r="L9" s="76">
        <v>1.5</v>
      </c>
      <c r="M9" s="76">
        <v>1.5</v>
      </c>
      <c r="N9" s="76">
        <v>1.5</v>
      </c>
      <c r="O9" s="76">
        <v>1.5</v>
      </c>
      <c r="P9" s="76">
        <v>1.5</v>
      </c>
      <c r="Q9" s="76">
        <v>1.5</v>
      </c>
      <c r="R9" s="76">
        <v>1.5</v>
      </c>
      <c r="S9" s="76">
        <v>1.5</v>
      </c>
      <c r="T9" s="76">
        <v>1.5</v>
      </c>
      <c r="U9" s="76">
        <v>1.5</v>
      </c>
      <c r="V9" s="76">
        <v>1.5</v>
      </c>
      <c r="W9" s="76">
        <v>1.5</v>
      </c>
      <c r="X9" s="2" t="s">
        <v>115</v>
      </c>
    </row>
    <row r="10" spans="1:24">
      <c r="A10" s="218" t="s">
        <v>111</v>
      </c>
      <c r="D10" s="37">
        <f>D8*D9</f>
        <v>7500</v>
      </c>
      <c r="E10" s="37">
        <f t="shared" ref="E10:W10" si="4">E8*E9</f>
        <v>18450</v>
      </c>
      <c r="F10" s="37">
        <f t="shared" si="4"/>
        <v>19856.8125</v>
      </c>
      <c r="G10" s="37">
        <f t="shared" si="4"/>
        <v>21370.894453125002</v>
      </c>
      <c r="H10" s="37">
        <f t="shared" si="4"/>
        <v>23000.425155175781</v>
      </c>
      <c r="I10" s="37">
        <f t="shared" si="4"/>
        <v>24754.20757325794</v>
      </c>
      <c r="J10" s="37">
        <f t="shared" si="4"/>
        <v>26641.715900718857</v>
      </c>
      <c r="K10" s="37">
        <f t="shared" si="4"/>
        <v>28673.146738148669</v>
      </c>
      <c r="L10" s="37">
        <f t="shared" si="4"/>
        <v>30859.474176932505</v>
      </c>
      <c r="M10" s="37">
        <f t="shared" si="4"/>
        <v>33212.509082923607</v>
      </c>
      <c r="N10" s="37">
        <f t="shared" si="4"/>
        <v>35744.962900496532</v>
      </c>
      <c r="O10" s="37">
        <f t="shared" si="4"/>
        <v>38470.516321659401</v>
      </c>
      <c r="P10" s="37">
        <f t="shared" si="4"/>
        <v>41403.893191185925</v>
      </c>
      <c r="Q10" s="37">
        <f t="shared" si="4"/>
        <v>44560.940047013857</v>
      </c>
      <c r="R10" s="37">
        <f t="shared" si="4"/>
        <v>47958.711725598667</v>
      </c>
      <c r="S10" s="37">
        <f t="shared" si="4"/>
        <v>51615.563494675574</v>
      </c>
      <c r="T10" s="37">
        <f t="shared" si="4"/>
        <v>55551.250211144579</v>
      </c>
      <c r="U10" s="37">
        <f t="shared" si="4"/>
        <v>59787.033039744361</v>
      </c>
      <c r="V10" s="37">
        <f t="shared" si="4"/>
        <v>64345.794309024874</v>
      </c>
      <c r="W10" s="37">
        <f t="shared" si="4"/>
        <v>69252.161125088023</v>
      </c>
      <c r="X10" s="2" t="s">
        <v>87</v>
      </c>
    </row>
    <row r="12" spans="1:24">
      <c r="A12" s="39" t="s">
        <v>358</v>
      </c>
      <c r="B12" s="104"/>
      <c r="C12" s="204"/>
      <c r="D12" s="204"/>
    </row>
    <row r="13" spans="1:24">
      <c r="A13" s="217" t="s">
        <v>149</v>
      </c>
      <c r="D13">
        <v>2.5</v>
      </c>
      <c r="E13" s="76">
        <f>D13+(D13*0.025)</f>
        <v>2.5625</v>
      </c>
      <c r="F13" s="76">
        <f t="shared" ref="F13:W13" si="5">E13+(E13*0.025)</f>
        <v>2.6265624999999999</v>
      </c>
      <c r="G13" s="76">
        <f t="shared" si="5"/>
        <v>2.6922265624999997</v>
      </c>
      <c r="H13" s="76">
        <f t="shared" si="5"/>
        <v>2.7595322265624995</v>
      </c>
      <c r="I13" s="76">
        <f t="shared" si="5"/>
        <v>2.8285205322265621</v>
      </c>
      <c r="J13" s="76">
        <f t="shared" si="5"/>
        <v>2.8992335455322262</v>
      </c>
      <c r="K13" s="76">
        <f t="shared" si="5"/>
        <v>2.9717143841705318</v>
      </c>
      <c r="L13" s="76">
        <f t="shared" si="5"/>
        <v>3.0460072437747949</v>
      </c>
      <c r="M13" s="76">
        <f t="shared" si="5"/>
        <v>3.1221574248691648</v>
      </c>
      <c r="N13" s="76">
        <f t="shared" si="5"/>
        <v>3.2002113604908939</v>
      </c>
      <c r="O13" s="76">
        <f t="shared" si="5"/>
        <v>3.2802166445031662</v>
      </c>
      <c r="P13" s="76">
        <f t="shared" si="5"/>
        <v>3.3622220606157454</v>
      </c>
      <c r="Q13" s="76">
        <f t="shared" si="5"/>
        <v>3.4462776121311389</v>
      </c>
      <c r="R13" s="76">
        <f t="shared" si="5"/>
        <v>3.5324345524344176</v>
      </c>
      <c r="S13" s="76">
        <f t="shared" si="5"/>
        <v>3.6207454162452781</v>
      </c>
      <c r="T13" s="76">
        <f t="shared" si="5"/>
        <v>3.7112640516514102</v>
      </c>
      <c r="U13" s="76">
        <f t="shared" si="5"/>
        <v>3.8040456529426954</v>
      </c>
      <c r="V13" s="76">
        <f t="shared" si="5"/>
        <v>3.8991467942662625</v>
      </c>
      <c r="W13" s="76">
        <f t="shared" si="5"/>
        <v>3.9966254641229191</v>
      </c>
    </row>
    <row r="14" spans="1:24">
      <c r="A14" s="218" t="s">
        <v>65</v>
      </c>
      <c r="D14" s="37">
        <f>D3*D13</f>
        <v>2500</v>
      </c>
      <c r="E14" s="37">
        <f>E3*E13</f>
        <v>2626.5625</v>
      </c>
      <c r="F14" s="37">
        <f t="shared" ref="F14:W14" si="6">F3*F13</f>
        <v>2759.5322265625</v>
      </c>
      <c r="G14" s="37">
        <f t="shared" si="6"/>
        <v>2899.2335455322263</v>
      </c>
      <c r="H14" s="37">
        <f t="shared" si="6"/>
        <v>3046.0072437747949</v>
      </c>
      <c r="I14" s="37">
        <f t="shared" si="6"/>
        <v>3200.2113604908941</v>
      </c>
      <c r="J14" s="37">
        <f t="shared" si="6"/>
        <v>3362.2220606157462</v>
      </c>
      <c r="K14" s="37">
        <f t="shared" si="6"/>
        <v>3532.434552434418</v>
      </c>
      <c r="L14" s="37">
        <f t="shared" si="6"/>
        <v>3711.2640516514102</v>
      </c>
      <c r="M14" s="37">
        <f t="shared" si="6"/>
        <v>3899.1467942662634</v>
      </c>
      <c r="N14" s="37">
        <f t="shared" si="6"/>
        <v>4096.5411007259927</v>
      </c>
      <c r="O14" s="37">
        <f t="shared" si="6"/>
        <v>4303.9284939502468</v>
      </c>
      <c r="P14" s="37">
        <f t="shared" si="6"/>
        <v>4521.8148739564776</v>
      </c>
      <c r="Q14" s="37">
        <f t="shared" si="6"/>
        <v>4750.7317519505241</v>
      </c>
      <c r="R14" s="37">
        <f t="shared" si="6"/>
        <v>4991.2375468930204</v>
      </c>
      <c r="S14" s="37">
        <f t="shared" si="6"/>
        <v>5243.9189477044793</v>
      </c>
      <c r="T14" s="37">
        <f t="shared" si="6"/>
        <v>5509.3923444320189</v>
      </c>
      <c r="U14" s="37">
        <f t="shared" si="6"/>
        <v>5788.3053318688899</v>
      </c>
      <c r="V14" s="37">
        <f t="shared" si="6"/>
        <v>6081.338289294752</v>
      </c>
      <c r="W14" s="37">
        <f t="shared" si="6"/>
        <v>6389.2060401902991</v>
      </c>
    </row>
    <row r="15" spans="1:24">
      <c r="A15" s="218" t="s">
        <v>110</v>
      </c>
      <c r="B15" s="147">
        <f>SUM(E15:W15)*365</f>
        <v>58920511.211095318</v>
      </c>
      <c r="C15" s="147"/>
      <c r="D15" s="37">
        <f>D14*2</f>
        <v>5000</v>
      </c>
      <c r="E15" s="37">
        <f>E14*2</f>
        <v>5253.125</v>
      </c>
      <c r="F15" s="37">
        <f t="shared" ref="F15:W15" si="7">F14*2</f>
        <v>5519.064453125</v>
      </c>
      <c r="G15" s="37">
        <f t="shared" si="7"/>
        <v>5798.4670910644527</v>
      </c>
      <c r="H15" s="37">
        <f t="shared" si="7"/>
        <v>6092.0144875495898</v>
      </c>
      <c r="I15" s="37">
        <f t="shared" si="7"/>
        <v>6400.4227209817882</v>
      </c>
      <c r="J15" s="37">
        <f t="shared" si="7"/>
        <v>6724.4441212314923</v>
      </c>
      <c r="K15" s="37">
        <f t="shared" si="7"/>
        <v>7064.8691048688361</v>
      </c>
      <c r="L15" s="37">
        <f t="shared" si="7"/>
        <v>7422.5281033028205</v>
      </c>
      <c r="M15" s="37">
        <f t="shared" si="7"/>
        <v>7798.2935885325269</v>
      </c>
      <c r="N15" s="37">
        <f t="shared" si="7"/>
        <v>8193.0822014519854</v>
      </c>
      <c r="O15" s="37">
        <f t="shared" si="7"/>
        <v>8607.8569879004936</v>
      </c>
      <c r="P15" s="37">
        <f t="shared" si="7"/>
        <v>9043.6297479129553</v>
      </c>
      <c r="Q15" s="37">
        <f t="shared" si="7"/>
        <v>9501.4635039010482</v>
      </c>
      <c r="R15" s="37">
        <f t="shared" si="7"/>
        <v>9982.4750937860408</v>
      </c>
      <c r="S15" s="37">
        <f t="shared" si="7"/>
        <v>10487.837895408959</v>
      </c>
      <c r="T15" s="37">
        <f t="shared" si="7"/>
        <v>11018.784688864038</v>
      </c>
      <c r="U15" s="37">
        <f t="shared" si="7"/>
        <v>11576.61066373778</v>
      </c>
      <c r="V15" s="37">
        <f t="shared" si="7"/>
        <v>12162.676578589504</v>
      </c>
      <c r="W15" s="37">
        <f t="shared" si="7"/>
        <v>12778.412080380598</v>
      </c>
    </row>
    <row r="16" spans="1:24">
      <c r="A16" s="218" t="s">
        <v>114</v>
      </c>
      <c r="D16" s="76">
        <v>1.5</v>
      </c>
      <c r="E16" s="76">
        <v>1.5</v>
      </c>
      <c r="F16" s="76">
        <v>1.5</v>
      </c>
      <c r="G16" s="76">
        <v>1.5</v>
      </c>
      <c r="H16" s="76">
        <v>1.5</v>
      </c>
      <c r="I16" s="76">
        <v>1.5</v>
      </c>
      <c r="J16" s="76">
        <v>1.5</v>
      </c>
      <c r="K16" s="76">
        <v>1.5</v>
      </c>
      <c r="L16" s="76">
        <v>1.5</v>
      </c>
      <c r="M16" s="76">
        <v>1.5</v>
      </c>
      <c r="N16" s="76">
        <v>1.5</v>
      </c>
      <c r="O16" s="76">
        <v>1.5</v>
      </c>
      <c r="P16" s="76">
        <v>1.5</v>
      </c>
      <c r="Q16" s="76">
        <v>1.5</v>
      </c>
      <c r="R16" s="76">
        <v>1.5</v>
      </c>
      <c r="S16" s="76">
        <v>1.5</v>
      </c>
      <c r="T16" s="76">
        <v>1.5</v>
      </c>
      <c r="U16" s="76">
        <v>1.5</v>
      </c>
      <c r="V16" s="76">
        <v>1.5</v>
      </c>
      <c r="W16" s="76">
        <v>1.5</v>
      </c>
    </row>
    <row r="17" spans="1:23">
      <c r="A17" s="218" t="s">
        <v>111</v>
      </c>
      <c r="D17" s="37">
        <f>D15*D16</f>
        <v>7500</v>
      </c>
      <c r="E17" s="37">
        <f>E15*E16</f>
        <v>7879.6875</v>
      </c>
      <c r="F17" s="37">
        <f t="shared" ref="F17:W17" si="8">F15*F16</f>
        <v>8278.5966796875</v>
      </c>
      <c r="G17" s="37">
        <f t="shared" si="8"/>
        <v>8697.700636596679</v>
      </c>
      <c r="H17" s="37">
        <f t="shared" si="8"/>
        <v>9138.0217313243847</v>
      </c>
      <c r="I17" s="37">
        <f t="shared" si="8"/>
        <v>9600.6340814726827</v>
      </c>
      <c r="J17" s="37">
        <f t="shared" si="8"/>
        <v>10086.666181847238</v>
      </c>
      <c r="K17" s="37">
        <f t="shared" si="8"/>
        <v>10597.303657303255</v>
      </c>
      <c r="L17" s="37">
        <f t="shared" si="8"/>
        <v>11133.79215495423</v>
      </c>
      <c r="M17" s="37">
        <f t="shared" si="8"/>
        <v>11697.44038279879</v>
      </c>
      <c r="N17" s="37">
        <f t="shared" si="8"/>
        <v>12289.623302177977</v>
      </c>
      <c r="O17" s="37">
        <f t="shared" si="8"/>
        <v>12911.78548185074</v>
      </c>
      <c r="P17" s="37">
        <f t="shared" si="8"/>
        <v>13565.444621869432</v>
      </c>
      <c r="Q17" s="37">
        <f t="shared" si="8"/>
        <v>14252.195255851573</v>
      </c>
      <c r="R17" s="37">
        <f t="shared" si="8"/>
        <v>14973.712640679061</v>
      </c>
      <c r="S17" s="37">
        <f t="shared" si="8"/>
        <v>15731.756843113439</v>
      </c>
      <c r="T17" s="37">
        <f t="shared" si="8"/>
        <v>16528.177033296059</v>
      </c>
      <c r="U17" s="37">
        <f t="shared" si="8"/>
        <v>17364.915995606669</v>
      </c>
      <c r="V17" s="37">
        <f t="shared" si="8"/>
        <v>18244.014867884256</v>
      </c>
      <c r="W17" s="37">
        <f t="shared" si="8"/>
        <v>19167.618120570896</v>
      </c>
    </row>
    <row r="19" spans="1:23">
      <c r="A19" s="39" t="s">
        <v>371</v>
      </c>
    </row>
    <row r="20" spans="1:23">
      <c r="A20" s="217" t="s">
        <v>149</v>
      </c>
      <c r="D20">
        <f>D6-D13</f>
        <v>0</v>
      </c>
      <c r="E20" s="37">
        <f t="shared" ref="E20:W20" si="9">E6-E13</f>
        <v>3.4375</v>
      </c>
      <c r="F20" s="37">
        <f t="shared" si="9"/>
        <v>3.6734374999999999</v>
      </c>
      <c r="G20" s="37">
        <f t="shared" si="9"/>
        <v>3.9227734375000005</v>
      </c>
      <c r="H20" s="37">
        <f t="shared" si="9"/>
        <v>4.1862177734375008</v>
      </c>
      <c r="I20" s="37">
        <f t="shared" si="9"/>
        <v>4.464516967773438</v>
      </c>
      <c r="J20" s="37">
        <f t="shared" si="9"/>
        <v>4.7584558294677741</v>
      </c>
      <c r="K20" s="37">
        <f t="shared" si="9"/>
        <v>5.0688594595794676</v>
      </c>
      <c r="L20" s="37">
        <f t="shared" si="9"/>
        <v>5.3965952921627043</v>
      </c>
      <c r="M20" s="37">
        <f t="shared" si="9"/>
        <v>5.7425752378652088</v>
      </c>
      <c r="N20" s="37">
        <f t="shared" si="9"/>
        <v>6.1077579353801994</v>
      </c>
      <c r="O20" s="37">
        <f t="shared" si="9"/>
        <v>6.4931511161614814</v>
      </c>
      <c r="P20" s="37">
        <f t="shared" si="9"/>
        <v>6.8998140880821355</v>
      </c>
      <c r="Q20" s="37">
        <f t="shared" si="9"/>
        <v>7.3288603440016367</v>
      </c>
      <c r="R20" s="37">
        <f t="shared" si="9"/>
        <v>7.781460301504997</v>
      </c>
      <c r="S20" s="37">
        <f t="shared" si="9"/>
        <v>8.2588441803911081</v>
      </c>
      <c r="T20" s="37">
        <f t="shared" si="9"/>
        <v>8.7623050248167953</v>
      </c>
      <c r="U20" s="37">
        <f t="shared" si="9"/>
        <v>9.2932018773489204</v>
      </c>
      <c r="V20" s="37">
        <f t="shared" si="9"/>
        <v>9.8529631125399355</v>
      </c>
      <c r="W20" s="37">
        <f t="shared" si="9"/>
        <v>10.443089938023588</v>
      </c>
    </row>
    <row r="21" spans="1:23">
      <c r="A21" s="218" t="s">
        <v>65</v>
      </c>
      <c r="D21" s="37">
        <f t="shared" ref="D21" si="10">D7-D14</f>
        <v>0</v>
      </c>
      <c r="E21" s="37">
        <f t="shared" ref="E21:W21" si="11">E7-E14</f>
        <v>3523.4375</v>
      </c>
      <c r="F21" s="37">
        <f t="shared" si="11"/>
        <v>3859.4052734375</v>
      </c>
      <c r="G21" s="37">
        <f t="shared" si="11"/>
        <v>4224.3979388427742</v>
      </c>
      <c r="H21" s="37">
        <f t="shared" si="11"/>
        <v>4620.8011412837986</v>
      </c>
      <c r="I21" s="37">
        <f t="shared" si="11"/>
        <v>5051.191163928419</v>
      </c>
      <c r="J21" s="37">
        <f t="shared" si="11"/>
        <v>5518.3499062905394</v>
      </c>
      <c r="K21" s="37">
        <f t="shared" si="11"/>
        <v>6025.2810269484717</v>
      </c>
      <c r="L21" s="37">
        <f t="shared" si="11"/>
        <v>6575.227340659424</v>
      </c>
      <c r="M21" s="37">
        <f t="shared" si="11"/>
        <v>7171.6895667082717</v>
      </c>
      <c r="N21" s="37">
        <f t="shared" si="11"/>
        <v>7818.4465327728512</v>
      </c>
      <c r="O21" s="37">
        <f t="shared" si="11"/>
        <v>8519.5769466028869</v>
      </c>
      <c r="P21" s="37">
        <f t="shared" si="11"/>
        <v>9279.4828564388299</v>
      </c>
      <c r="Q21" s="37">
        <f t="shared" si="11"/>
        <v>10102.914930387429</v>
      </c>
      <c r="R21" s="37">
        <f t="shared" si="11"/>
        <v>10994.999694973201</v>
      </c>
      <c r="S21" s="37">
        <f t="shared" si="11"/>
        <v>11961.268883854045</v>
      </c>
      <c r="T21" s="37">
        <f t="shared" si="11"/>
        <v>13007.691059282841</v>
      </c>
      <c r="U21" s="37">
        <f t="shared" si="11"/>
        <v>14140.70568137923</v>
      </c>
      <c r="V21" s="37">
        <f t="shared" si="11"/>
        <v>15367.259813713539</v>
      </c>
      <c r="W21" s="37">
        <f t="shared" si="11"/>
        <v>16694.847668172373</v>
      </c>
    </row>
    <row r="22" spans="1:23">
      <c r="A22" s="218" t="s">
        <v>110</v>
      </c>
      <c r="D22" s="37">
        <f t="shared" ref="D22" si="12">D8-D15</f>
        <v>0</v>
      </c>
      <c r="E22" s="37">
        <f t="shared" ref="E22:W22" si="13">E8-E15</f>
        <v>7046.875</v>
      </c>
      <c r="F22" s="37">
        <f t="shared" si="13"/>
        <v>7718.810546875</v>
      </c>
      <c r="G22" s="37">
        <f t="shared" si="13"/>
        <v>8448.7958776855485</v>
      </c>
      <c r="H22" s="37">
        <f t="shared" si="13"/>
        <v>9241.6022825675973</v>
      </c>
      <c r="I22" s="37">
        <f t="shared" si="13"/>
        <v>10102.382327856838</v>
      </c>
      <c r="J22" s="37">
        <f t="shared" si="13"/>
        <v>11036.699812581079</v>
      </c>
      <c r="K22" s="37">
        <f t="shared" si="13"/>
        <v>12050.562053896943</v>
      </c>
      <c r="L22" s="37">
        <f t="shared" si="13"/>
        <v>13150.454681318848</v>
      </c>
      <c r="M22" s="37">
        <f t="shared" si="13"/>
        <v>14343.379133416543</v>
      </c>
      <c r="N22" s="37">
        <f t="shared" si="13"/>
        <v>15636.893065545702</v>
      </c>
      <c r="O22" s="37">
        <f t="shared" si="13"/>
        <v>17039.153893205774</v>
      </c>
      <c r="P22" s="37">
        <f t="shared" si="13"/>
        <v>18558.96571287766</v>
      </c>
      <c r="Q22" s="37">
        <f t="shared" si="13"/>
        <v>20205.829860774858</v>
      </c>
      <c r="R22" s="37">
        <f t="shared" si="13"/>
        <v>21989.999389946403</v>
      </c>
      <c r="S22" s="37">
        <f t="shared" si="13"/>
        <v>23922.537767708091</v>
      </c>
      <c r="T22" s="37">
        <f t="shared" si="13"/>
        <v>26015.382118565682</v>
      </c>
      <c r="U22" s="37">
        <f t="shared" si="13"/>
        <v>28281.411362758459</v>
      </c>
      <c r="V22" s="37">
        <f t="shared" si="13"/>
        <v>30734.519627427078</v>
      </c>
      <c r="W22" s="37">
        <f t="shared" si="13"/>
        <v>33389.695336344746</v>
      </c>
    </row>
    <row r="23" spans="1:23">
      <c r="A23" s="218" t="s">
        <v>111</v>
      </c>
      <c r="D23" s="37">
        <f t="shared" ref="D23" si="14">D10-D17</f>
        <v>0</v>
      </c>
      <c r="E23" s="37">
        <f t="shared" ref="E23:W23" si="15">E10-E17</f>
        <v>10570.3125</v>
      </c>
      <c r="F23" s="37">
        <f t="shared" si="15"/>
        <v>11578.2158203125</v>
      </c>
      <c r="G23" s="37">
        <f t="shared" si="15"/>
        <v>12673.193816528323</v>
      </c>
      <c r="H23" s="37">
        <f t="shared" si="15"/>
        <v>13862.403423851396</v>
      </c>
      <c r="I23" s="37">
        <f t="shared" si="15"/>
        <v>15153.573491785257</v>
      </c>
      <c r="J23" s="37">
        <f t="shared" si="15"/>
        <v>16555.049718871618</v>
      </c>
      <c r="K23" s="37">
        <f t="shared" si="15"/>
        <v>18075.843080845414</v>
      </c>
      <c r="L23" s="37">
        <f t="shared" si="15"/>
        <v>19725.682021978275</v>
      </c>
      <c r="M23" s="37">
        <f t="shared" si="15"/>
        <v>21515.068700124815</v>
      </c>
      <c r="N23" s="37">
        <f t="shared" si="15"/>
        <v>23455.339598318555</v>
      </c>
      <c r="O23" s="37">
        <f t="shared" si="15"/>
        <v>25558.730839808661</v>
      </c>
      <c r="P23" s="37">
        <f t="shared" si="15"/>
        <v>27838.448569316493</v>
      </c>
      <c r="Q23" s="37">
        <f t="shared" si="15"/>
        <v>30308.744791162284</v>
      </c>
      <c r="R23" s="37">
        <f t="shared" si="15"/>
        <v>32984.999084919604</v>
      </c>
      <c r="S23" s="37">
        <f t="shared" si="15"/>
        <v>35883.806651562132</v>
      </c>
      <c r="T23" s="37">
        <f t="shared" si="15"/>
        <v>39023.073177848521</v>
      </c>
      <c r="U23" s="37">
        <f t="shared" si="15"/>
        <v>42422.117044137689</v>
      </c>
      <c r="V23" s="37">
        <f t="shared" si="15"/>
        <v>46101.779441140621</v>
      </c>
      <c r="W23" s="37">
        <f t="shared" si="15"/>
        <v>50084.543004517123</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Z64"/>
  <sheetViews>
    <sheetView workbookViewId="0">
      <pane xSplit="1" ySplit="2" topLeftCell="Q33" activePane="bottomRight" state="frozen"/>
      <selection pane="topRight" activeCell="B1" sqref="B1"/>
      <selection pane="bottomLeft" activeCell="A3" sqref="A3"/>
      <selection pane="bottomRight" activeCell="W11" sqref="W11"/>
    </sheetView>
  </sheetViews>
  <sheetFormatPr defaultRowHeight="13.2"/>
  <cols>
    <col min="1" max="1" width="48.109375" bestFit="1" customWidth="1"/>
    <col min="2" max="2" width="12.6640625" bestFit="1" customWidth="1"/>
    <col min="3" max="4" width="11.109375" customWidth="1"/>
    <col min="5" max="5" width="14.33203125" bestFit="1" customWidth="1"/>
    <col min="6" max="6" width="11.5546875" bestFit="1" customWidth="1"/>
    <col min="7" max="8" width="11.33203125" bestFit="1" customWidth="1"/>
    <col min="9" max="12" width="10.5546875" bestFit="1" customWidth="1"/>
    <col min="13" max="19" width="12.33203125" bestFit="1" customWidth="1"/>
    <col min="20" max="21" width="11.5546875" bestFit="1" customWidth="1"/>
    <col min="22" max="23" width="11.33203125" bestFit="1" customWidth="1"/>
    <col min="24" max="24" width="40.6640625" style="2" customWidth="1"/>
  </cols>
  <sheetData>
    <row r="1" spans="1:24" s="96" customFormat="1">
      <c r="C1" s="96">
        <v>2010</v>
      </c>
      <c r="D1" s="94">
        <v>2011</v>
      </c>
      <c r="E1" s="94">
        <v>2012</v>
      </c>
      <c r="F1" s="94">
        <v>2013</v>
      </c>
      <c r="G1" s="94">
        <v>2014</v>
      </c>
      <c r="H1" s="94">
        <v>2015</v>
      </c>
      <c r="I1" s="94">
        <v>2016</v>
      </c>
      <c r="J1" s="94">
        <v>2017</v>
      </c>
      <c r="K1" s="94">
        <v>2018</v>
      </c>
      <c r="L1" s="94">
        <v>2019</v>
      </c>
      <c r="M1" s="94">
        <v>2020</v>
      </c>
      <c r="N1" s="94">
        <v>2021</v>
      </c>
      <c r="O1" s="94">
        <v>2022</v>
      </c>
      <c r="P1" s="94">
        <v>2023</v>
      </c>
      <c r="Q1" s="94">
        <v>2024</v>
      </c>
      <c r="R1" s="94">
        <v>2025</v>
      </c>
      <c r="S1" s="94">
        <v>2026</v>
      </c>
      <c r="T1" s="94">
        <v>2027</v>
      </c>
      <c r="U1" s="94">
        <v>2028</v>
      </c>
      <c r="V1" s="94">
        <v>2029</v>
      </c>
      <c r="W1" s="94">
        <v>2030</v>
      </c>
      <c r="X1" s="97"/>
    </row>
    <row r="2" spans="1:24" s="96" customFormat="1">
      <c r="B2" s="224" t="s">
        <v>233</v>
      </c>
      <c r="D2" s="94" t="s">
        <v>22</v>
      </c>
      <c r="E2" s="94" t="s">
        <v>23</v>
      </c>
      <c r="F2" s="94" t="s">
        <v>24</v>
      </c>
      <c r="G2" s="94" t="s">
        <v>25</v>
      </c>
      <c r="H2" s="94" t="s">
        <v>26</v>
      </c>
      <c r="I2" s="94" t="s">
        <v>27</v>
      </c>
      <c r="J2" s="94" t="s">
        <v>28</v>
      </c>
      <c r="K2" s="94" t="s">
        <v>29</v>
      </c>
      <c r="L2" s="94" t="s">
        <v>30</v>
      </c>
      <c r="M2" s="94" t="s">
        <v>31</v>
      </c>
      <c r="N2" s="94" t="s">
        <v>32</v>
      </c>
      <c r="O2" s="94" t="s">
        <v>33</v>
      </c>
      <c r="P2" s="94" t="s">
        <v>34</v>
      </c>
      <c r="Q2" s="94" t="s">
        <v>35</v>
      </c>
      <c r="R2" s="94" t="s">
        <v>36</v>
      </c>
      <c r="S2" s="94" t="s">
        <v>37</v>
      </c>
      <c r="T2" s="94" t="s">
        <v>38</v>
      </c>
      <c r="U2" s="94" t="s">
        <v>39</v>
      </c>
      <c r="V2" s="94" t="s">
        <v>40</v>
      </c>
      <c r="W2" s="94" t="s">
        <v>174</v>
      </c>
      <c r="X2" s="97" t="s">
        <v>54</v>
      </c>
    </row>
    <row r="3" spans="1:24" s="104" customFormat="1">
      <c r="A3" s="105" t="s">
        <v>372</v>
      </c>
    </row>
    <row r="4" spans="1:24" s="104" customFormat="1">
      <c r="A4" s="44" t="s">
        <v>333</v>
      </c>
      <c r="C4" s="204"/>
      <c r="D4" s="204">
        <v>0</v>
      </c>
      <c r="E4" s="204">
        <f>D4+D5</f>
        <v>110</v>
      </c>
      <c r="F4" s="208">
        <f t="shared" ref="F4:W4" si="0">E4+E5</f>
        <v>2564</v>
      </c>
      <c r="G4" s="208">
        <f t="shared" si="0"/>
        <v>2628.1</v>
      </c>
      <c r="H4" s="208">
        <f t="shared" si="0"/>
        <v>2693.8024999999998</v>
      </c>
      <c r="I4" s="208">
        <f t="shared" si="0"/>
        <v>2761.1475624999998</v>
      </c>
      <c r="J4" s="208">
        <f t="shared" si="0"/>
        <v>2830.1762515624996</v>
      </c>
      <c r="K4" s="208">
        <f t="shared" si="0"/>
        <v>2900.930657851562</v>
      </c>
      <c r="L4" s="208">
        <f t="shared" si="0"/>
        <v>2973.4539242978512</v>
      </c>
      <c r="M4" s="208">
        <f t="shared" si="0"/>
        <v>3047.7902724052974</v>
      </c>
      <c r="N4" s="208">
        <f t="shared" si="0"/>
        <v>3123.9850292154297</v>
      </c>
      <c r="O4" s="208">
        <f t="shared" si="0"/>
        <v>3202.0846549458156</v>
      </c>
      <c r="P4" s="208">
        <f t="shared" si="0"/>
        <v>3282.1367713194609</v>
      </c>
      <c r="Q4" s="208">
        <f t="shared" si="0"/>
        <v>3364.1901906024473</v>
      </c>
      <c r="R4" s="208">
        <f t="shared" si="0"/>
        <v>3448.2949453675083</v>
      </c>
      <c r="S4" s="208">
        <f t="shared" si="0"/>
        <v>3534.5023190016959</v>
      </c>
      <c r="T4" s="208">
        <f t="shared" si="0"/>
        <v>3622.8648769767383</v>
      </c>
      <c r="U4" s="208">
        <f t="shared" si="0"/>
        <v>3713.4364989011569</v>
      </c>
      <c r="V4" s="208">
        <f t="shared" si="0"/>
        <v>3806.2724113736858</v>
      </c>
      <c r="W4" s="208">
        <f t="shared" si="0"/>
        <v>3901.4292216580279</v>
      </c>
    </row>
    <row r="5" spans="1:24">
      <c r="A5" s="111" t="s">
        <v>334</v>
      </c>
      <c r="D5">
        <v>110</v>
      </c>
      <c r="E5" s="37">
        <f>SUM('Cost Assumptions'!H3:H6)-117</f>
        <v>2454</v>
      </c>
      <c r="F5" s="37">
        <f>F4*0.025</f>
        <v>64.100000000000009</v>
      </c>
      <c r="G5" s="37">
        <f t="shared" ref="G5:W5" si="1">G4*0.025</f>
        <v>65.702500000000001</v>
      </c>
      <c r="H5" s="37">
        <f t="shared" si="1"/>
        <v>67.345062499999997</v>
      </c>
      <c r="I5" s="37">
        <f t="shared" si="1"/>
        <v>69.028689062499993</v>
      </c>
      <c r="J5" s="37">
        <f t="shared" si="1"/>
        <v>70.754406289062487</v>
      </c>
      <c r="K5" s="37">
        <f t="shared" si="1"/>
        <v>72.523266446289057</v>
      </c>
      <c r="L5" s="37">
        <f t="shared" si="1"/>
        <v>74.336348107446284</v>
      </c>
      <c r="M5" s="37">
        <f t="shared" si="1"/>
        <v>76.194756810132432</v>
      </c>
      <c r="N5" s="37">
        <f t="shared" si="1"/>
        <v>78.099625730385753</v>
      </c>
      <c r="O5" s="37">
        <f t="shared" si="1"/>
        <v>80.05211637364539</v>
      </c>
      <c r="P5" s="37">
        <f t="shared" si="1"/>
        <v>82.053419282986525</v>
      </c>
      <c r="Q5" s="37">
        <f t="shared" si="1"/>
        <v>84.104754765061188</v>
      </c>
      <c r="R5" s="37">
        <f t="shared" si="1"/>
        <v>86.207373634187718</v>
      </c>
      <c r="S5" s="37">
        <f t="shared" si="1"/>
        <v>88.362557975042407</v>
      </c>
      <c r="T5" s="37">
        <f t="shared" si="1"/>
        <v>90.571621924418466</v>
      </c>
      <c r="U5" s="37">
        <f t="shared" si="1"/>
        <v>92.835912472528932</v>
      </c>
      <c r="V5" s="37">
        <f t="shared" si="1"/>
        <v>95.156810284342157</v>
      </c>
      <c r="W5" s="37">
        <f t="shared" si="1"/>
        <v>97.535730541450704</v>
      </c>
    </row>
    <row r="6" spans="1:24">
      <c r="A6" s="111" t="s">
        <v>344</v>
      </c>
      <c r="C6" s="37"/>
      <c r="D6" s="37">
        <f>D4+D5</f>
        <v>110</v>
      </c>
      <c r="E6" s="37">
        <f t="shared" ref="E6:W6" si="2">E4+E5</f>
        <v>2564</v>
      </c>
      <c r="F6" s="37">
        <f t="shared" si="2"/>
        <v>2628.1</v>
      </c>
      <c r="G6" s="37">
        <f t="shared" si="2"/>
        <v>2693.8024999999998</v>
      </c>
      <c r="H6" s="37">
        <f t="shared" si="2"/>
        <v>2761.1475624999998</v>
      </c>
      <c r="I6" s="37">
        <f t="shared" si="2"/>
        <v>2830.1762515624996</v>
      </c>
      <c r="J6" s="37">
        <f t="shared" si="2"/>
        <v>2900.930657851562</v>
      </c>
      <c r="K6" s="37">
        <f t="shared" si="2"/>
        <v>2973.4539242978512</v>
      </c>
      <c r="L6" s="37">
        <f t="shared" si="2"/>
        <v>3047.7902724052974</v>
      </c>
      <c r="M6" s="37">
        <f t="shared" si="2"/>
        <v>3123.9850292154297</v>
      </c>
      <c r="N6" s="37">
        <f t="shared" si="2"/>
        <v>3202.0846549458156</v>
      </c>
      <c r="O6" s="37">
        <f t="shared" si="2"/>
        <v>3282.1367713194609</v>
      </c>
      <c r="P6" s="37">
        <f t="shared" si="2"/>
        <v>3364.1901906024473</v>
      </c>
      <c r="Q6" s="37">
        <f t="shared" si="2"/>
        <v>3448.2949453675083</v>
      </c>
      <c r="R6" s="37">
        <f t="shared" si="2"/>
        <v>3534.5023190016959</v>
      </c>
      <c r="S6" s="37">
        <f t="shared" si="2"/>
        <v>3622.8648769767383</v>
      </c>
      <c r="T6" s="37">
        <f t="shared" si="2"/>
        <v>3713.4364989011569</v>
      </c>
      <c r="U6" s="37">
        <f t="shared" si="2"/>
        <v>3806.2724113736858</v>
      </c>
      <c r="V6" s="37">
        <f t="shared" si="2"/>
        <v>3901.4292216580279</v>
      </c>
      <c r="W6" s="37">
        <f t="shared" si="2"/>
        <v>3998.9649521994788</v>
      </c>
    </row>
    <row r="7" spans="1:24">
      <c r="A7" t="s">
        <v>149</v>
      </c>
      <c r="D7">
        <v>2</v>
      </c>
      <c r="E7" s="37">
        <v>6</v>
      </c>
      <c r="F7" s="37">
        <f>(E7*0.05)+E7</f>
        <v>6.3</v>
      </c>
      <c r="G7" s="37">
        <f t="shared" ref="G7:W7" si="3">(F7*0.05)+F7</f>
        <v>6.6150000000000002</v>
      </c>
      <c r="H7" s="37">
        <f t="shared" si="3"/>
        <v>6.9457500000000003</v>
      </c>
      <c r="I7" s="37">
        <f t="shared" si="3"/>
        <v>7.2930375000000005</v>
      </c>
      <c r="J7" s="37">
        <f t="shared" si="3"/>
        <v>7.6576893750000004</v>
      </c>
      <c r="K7" s="37">
        <f t="shared" si="3"/>
        <v>8.0405738437499998</v>
      </c>
      <c r="L7" s="37">
        <f t="shared" si="3"/>
        <v>8.4426025359374997</v>
      </c>
      <c r="M7" s="37">
        <f t="shared" si="3"/>
        <v>8.8647326627343741</v>
      </c>
      <c r="N7" s="37">
        <f t="shared" si="3"/>
        <v>9.3079692958710929</v>
      </c>
      <c r="O7" s="37">
        <f t="shared" si="3"/>
        <v>9.7733677606646481</v>
      </c>
      <c r="P7" s="37">
        <f t="shared" si="3"/>
        <v>10.262036148697881</v>
      </c>
      <c r="Q7" s="37">
        <f t="shared" si="3"/>
        <v>10.775137956132776</v>
      </c>
      <c r="R7" s="37">
        <f t="shared" si="3"/>
        <v>11.313894853939415</v>
      </c>
      <c r="S7" s="37">
        <f t="shared" si="3"/>
        <v>11.879589596636386</v>
      </c>
      <c r="T7" s="37">
        <f t="shared" si="3"/>
        <v>12.473569076468205</v>
      </c>
      <c r="U7" s="37">
        <f t="shared" si="3"/>
        <v>13.097247530291616</v>
      </c>
      <c r="V7" s="37">
        <f t="shared" si="3"/>
        <v>13.752109906806197</v>
      </c>
      <c r="W7" s="37">
        <f t="shared" si="3"/>
        <v>14.439715402146508</v>
      </c>
    </row>
    <row r="8" spans="1:24">
      <c r="E8" s="37"/>
      <c r="F8" s="37"/>
      <c r="G8" s="37"/>
      <c r="H8" s="37"/>
      <c r="I8" s="37"/>
      <c r="J8" s="37"/>
      <c r="K8" s="37"/>
      <c r="L8" s="37"/>
      <c r="M8" s="37"/>
      <c r="N8" s="37"/>
      <c r="O8" s="37"/>
      <c r="P8" s="37"/>
      <c r="Q8" s="37"/>
      <c r="R8" s="37"/>
      <c r="S8" s="37"/>
      <c r="T8" s="37"/>
      <c r="U8" s="37"/>
      <c r="V8" s="37"/>
      <c r="W8" s="37"/>
    </row>
    <row r="9" spans="1:24">
      <c r="A9" s="4" t="s">
        <v>373</v>
      </c>
      <c r="E9" s="37"/>
      <c r="F9" s="37"/>
      <c r="G9" s="37"/>
      <c r="H9" s="37"/>
      <c r="I9" s="37"/>
      <c r="J9" s="37"/>
      <c r="K9" s="37"/>
      <c r="L9" s="37"/>
      <c r="M9" s="37"/>
      <c r="N9" s="37"/>
      <c r="O9" s="37"/>
      <c r="P9" s="37"/>
      <c r="Q9" s="37"/>
      <c r="R9" s="37"/>
      <c r="S9" s="37"/>
      <c r="T9" s="37"/>
      <c r="U9" s="37"/>
      <c r="V9" s="37"/>
      <c r="W9" s="37"/>
    </row>
    <row r="10" spans="1:24">
      <c r="A10" t="s">
        <v>65</v>
      </c>
      <c r="D10" s="37">
        <f>(D6*D7)+'Bike Ops (existing DC bikes)'!D21</f>
        <v>220</v>
      </c>
      <c r="E10" s="37">
        <f>(E6*E7)+'Bike Ops (existing DC bikes)'!E21</f>
        <v>18907.4375</v>
      </c>
      <c r="F10" s="37">
        <f>(F6*F7)+'Bike Ops (existing DC bikes)'!F21</f>
        <v>20416.435273437499</v>
      </c>
      <c r="G10" s="37">
        <f>(G6*G7)+'Bike Ops (existing DC bikes)'!G21</f>
        <v>22043.901476342777</v>
      </c>
      <c r="H10" s="37">
        <f>(H6*H7)+'Bike Ops (existing DC bikes)'!H21</f>
        <v>23799.041823518175</v>
      </c>
      <c r="I10" s="37">
        <f>(I6*I7)+'Bike Ops (existing DC bikes)'!I21</f>
        <v>25691.772698183162</v>
      </c>
      <c r="J10" s="37">
        <f>(J6*J7)+'Bike Ops (existing DC bikes)'!J21</f>
        <v>27732.775782532208</v>
      </c>
      <c r="K10" s="37">
        <f>(K6*K7)+'Bike Ops (existing DC bikes)'!K21</f>
        <v>29933.556876253566</v>
      </c>
      <c r="L10" s="37">
        <f>(L6*L7)+'Bike Ops (existing DC bikes)'!L21</f>
        <v>32306.509223474033</v>
      </c>
      <c r="M10" s="37">
        <f>(M6*M7)+'Bike Ops (existing DC bikes)'!M21</f>
        <v>34864.981693087488</v>
      </c>
      <c r="N10" s="37">
        <f>(N6*N7)+'Bike Ops (existing DC bikes)'!N21</f>
        <v>37623.352183788484</v>
      </c>
      <c r="O10" s="37">
        <f>(O6*O7)+'Bike Ops (existing DC bikes)'!O21</f>
        <v>40597.106653508468</v>
      </c>
      <c r="P10" s="37">
        <f>(P6*P7)+'Bike Ops (existing DC bikes)'!P21</f>
        <v>43802.924203495961</v>
      </c>
      <c r="Q10" s="37">
        <f>(Q6*Q7)+'Bike Ops (existing DC bikes)'!Q21</f>
        <v>47258.768680157664</v>
      </c>
      <c r="R10" s="37">
        <f>(R6*R7)+'Bike Ops (existing DC bikes)'!R21</f>
        <v>50983.987293163416</v>
      </c>
      <c r="S10" s="37">
        <f>(S6*S7)+'Bike Ops (existing DC bikes)'!S21</f>
        <v>54999.416786406262</v>
      </c>
      <c r="T10" s="37">
        <f>(T6*T7)+'Bike Ops (existing DC bikes)'!T21</f>
        <v>59327.497739404673</v>
      </c>
      <c r="U10" s="37">
        <f>(U6*U7)+'Bike Ops (existing DC bikes)'!U21</f>
        <v>63992.397620860349</v>
      </c>
      <c r="V10" s="37">
        <f>(V6*V7)+'Bike Ops (existing DC bikes)'!V21</f>
        <v>69020.143263580103</v>
      </c>
      <c r="W10" s="37">
        <f>(W6*W7)+'Bike Ops (existing DC bikes)'!W21</f>
        <v>74438.763481091257</v>
      </c>
      <c r="X10" s="2" t="s">
        <v>163</v>
      </c>
    </row>
    <row r="11" spans="1:24">
      <c r="A11" t="s">
        <v>110</v>
      </c>
      <c r="B11" s="147">
        <f>SUM(E11:W11)*365</f>
        <v>687804353.9799124</v>
      </c>
      <c r="C11" s="147"/>
      <c r="D11" s="37">
        <f>(D10*2)+'Bike Ops (existing DC bikes)'!D22</f>
        <v>440</v>
      </c>
      <c r="E11" s="37">
        <f>(E10*2)+'Bike Ops (existing DC bikes)'!E22</f>
        <v>44861.75</v>
      </c>
      <c r="F11" s="37">
        <f>(F10*2)+'Bike Ops (existing DC bikes)'!F22</f>
        <v>48551.681093749998</v>
      </c>
      <c r="G11" s="37">
        <f>(G10*2)+'Bike Ops (existing DC bikes)'!G22</f>
        <v>52536.598830371106</v>
      </c>
      <c r="H11" s="37">
        <f>(H10*2)+'Bike Ops (existing DC bikes)'!H22</f>
        <v>56839.685929603947</v>
      </c>
      <c r="I11" s="37">
        <f>(I10*2)+'Bike Ops (existing DC bikes)'!I22</f>
        <v>61485.927724223162</v>
      </c>
      <c r="J11" s="37">
        <f>(J10*2)+'Bike Ops (existing DC bikes)'!J22</f>
        <v>66502.251377645502</v>
      </c>
      <c r="K11" s="37">
        <f>(K10*2)+'Bike Ops (existing DC bikes)'!K22</f>
        <v>71917.675806404077</v>
      </c>
      <c r="L11" s="37">
        <f>(L10*2)+'Bike Ops (existing DC bikes)'!L22</f>
        <v>77763.473128266909</v>
      </c>
      <c r="M11" s="37">
        <f>(M10*2)+'Bike Ops (existing DC bikes)'!M22</f>
        <v>84073.342519591519</v>
      </c>
      <c r="N11" s="37">
        <f>(N10*2)+'Bike Ops (existing DC bikes)'!N22</f>
        <v>90883.597433122675</v>
      </c>
      <c r="O11" s="37">
        <f>(O10*2)+'Bike Ops (existing DC bikes)'!O22</f>
        <v>98233.36720022271</v>
      </c>
      <c r="P11" s="37">
        <f>(P10*2)+'Bike Ops (existing DC bikes)'!P22</f>
        <v>106164.81411986958</v>
      </c>
      <c r="Q11" s="37">
        <f>(Q10*2)+'Bike Ops (existing DC bikes)'!Q22</f>
        <v>114723.36722109019</v>
      </c>
      <c r="R11" s="37">
        <f>(R10*2)+'Bike Ops (existing DC bikes)'!R22</f>
        <v>123957.97397627324</v>
      </c>
      <c r="S11" s="37">
        <f>(S10*2)+'Bike Ops (existing DC bikes)'!S22</f>
        <v>133921.37134052062</v>
      </c>
      <c r="T11" s="37">
        <f>(T10*2)+'Bike Ops (existing DC bikes)'!T22</f>
        <v>144670.37759737502</v>
      </c>
      <c r="U11" s="37">
        <f>(U10*2)+'Bike Ops (existing DC bikes)'!U22</f>
        <v>156266.20660447917</v>
      </c>
      <c r="V11" s="37">
        <f>(V10*2)+'Bike Ops (existing DC bikes)'!V22</f>
        <v>168774.80615458728</v>
      </c>
      <c r="W11" s="37">
        <f>(W10*2)+'Bike Ops (existing DC bikes)'!W22</f>
        <v>182267.22229852725</v>
      </c>
      <c r="X11" s="2" t="s">
        <v>87</v>
      </c>
    </row>
    <row r="12" spans="1:24">
      <c r="A12" t="s">
        <v>114</v>
      </c>
      <c r="D12" s="76">
        <v>1.5</v>
      </c>
      <c r="E12" s="76">
        <v>1.5</v>
      </c>
      <c r="F12" s="76">
        <v>1.5</v>
      </c>
      <c r="G12" s="76">
        <v>1.5</v>
      </c>
      <c r="H12" s="76">
        <v>1.5</v>
      </c>
      <c r="I12" s="76">
        <v>1.5</v>
      </c>
      <c r="J12" s="76">
        <v>1.5</v>
      </c>
      <c r="K12" s="76">
        <v>1.5</v>
      </c>
      <c r="L12" s="76">
        <v>1.5</v>
      </c>
      <c r="M12" s="76">
        <v>1.5</v>
      </c>
      <c r="N12" s="76">
        <v>1.5</v>
      </c>
      <c r="O12" s="76">
        <v>1.5</v>
      </c>
      <c r="P12" s="76">
        <v>1.5</v>
      </c>
      <c r="Q12" s="76">
        <v>1.5</v>
      </c>
      <c r="R12" s="76">
        <v>1.5</v>
      </c>
      <c r="S12" s="76">
        <v>1.5</v>
      </c>
      <c r="T12" s="76">
        <v>1.5</v>
      </c>
      <c r="U12" s="76">
        <v>1.5</v>
      </c>
      <c r="V12" s="76">
        <v>1.5</v>
      </c>
      <c r="W12" s="76">
        <v>1.5</v>
      </c>
      <c r="X12" s="2" t="s">
        <v>115</v>
      </c>
    </row>
    <row r="13" spans="1:24">
      <c r="A13" t="s">
        <v>111</v>
      </c>
      <c r="B13" s="147">
        <f>SUM(E13:W13)*365</f>
        <v>1211786918.5134845</v>
      </c>
      <c r="D13" s="37">
        <f>(D11*D12)+'Bike Ops (existing DC bikes)'!D23</f>
        <v>660</v>
      </c>
      <c r="E13" s="37">
        <f>(E11*E12)+'Bike Ops (existing DC bikes)'!E23</f>
        <v>77862.9375</v>
      </c>
      <c r="F13" s="37">
        <f>(F11*F12)+'Bike Ops (existing DC bikes)'!F23</f>
        <v>84405.737460937497</v>
      </c>
      <c r="G13" s="37">
        <f>(G11*G12)+'Bike Ops (existing DC bikes)'!G23</f>
        <v>91478.092062084979</v>
      </c>
      <c r="H13" s="37">
        <f>(H11*H12)+'Bike Ops (existing DC bikes)'!H23</f>
        <v>99121.932318257328</v>
      </c>
      <c r="I13" s="37">
        <f>(I11*I12)+'Bike Ops (existing DC bikes)'!I23</f>
        <v>107382.46507811999</v>
      </c>
      <c r="J13" s="37">
        <f>(J11*J12)+'Bike Ops (existing DC bikes)'!J23</f>
        <v>116308.42678533986</v>
      </c>
      <c r="K13" s="37">
        <f>(K11*K12)+'Bike Ops (existing DC bikes)'!K23</f>
        <v>125952.35679045152</v>
      </c>
      <c r="L13" s="37">
        <f>(L11*L12)+'Bike Ops (existing DC bikes)'!L23</f>
        <v>136370.89171437864</v>
      </c>
      <c r="M13" s="37">
        <f>(M11*M12)+'Bike Ops (existing DC bikes)'!M23</f>
        <v>147625.08247951209</v>
      </c>
      <c r="N13" s="37">
        <f>(N11*N12)+'Bike Ops (existing DC bikes)'!N23</f>
        <v>159780.73574800257</v>
      </c>
      <c r="O13" s="37">
        <f>(O11*O12)+'Bike Ops (existing DC bikes)'!O23</f>
        <v>172908.78164014273</v>
      </c>
      <c r="P13" s="37">
        <f>(P11*P12)+'Bike Ops (existing DC bikes)'!P23</f>
        <v>187085.66974912086</v>
      </c>
      <c r="Q13" s="37">
        <f>(Q11*Q12)+'Bike Ops (existing DC bikes)'!Q23</f>
        <v>202393.79562279757</v>
      </c>
      <c r="R13" s="37">
        <f>(R11*R12)+'Bike Ops (existing DC bikes)'!R23</f>
        <v>218921.96004932947</v>
      </c>
      <c r="S13" s="37">
        <f>(S11*S12)+'Bike Ops (existing DC bikes)'!S23</f>
        <v>236765.86366234306</v>
      </c>
      <c r="T13" s="37">
        <f>(T11*T12)+'Bike Ops (existing DC bikes)'!T23</f>
        <v>256028.63957391103</v>
      </c>
      <c r="U13" s="37">
        <f>(U11*U12)+'Bike Ops (existing DC bikes)'!U23</f>
        <v>276821.42695085646</v>
      </c>
      <c r="V13" s="37">
        <f>(V11*V12)+'Bike Ops (existing DC bikes)'!V23</f>
        <v>299263.98867302155</v>
      </c>
      <c r="W13" s="37">
        <f>(W11*W12)+'Bike Ops (existing DC bikes)'!W23</f>
        <v>323485.37645230803</v>
      </c>
      <c r="X13" s="2" t="s">
        <v>87</v>
      </c>
    </row>
    <row r="15" spans="1:24">
      <c r="A15" t="s">
        <v>94</v>
      </c>
      <c r="D15" s="37">
        <f>D6*10</f>
        <v>1100</v>
      </c>
      <c r="E15" s="37">
        <f t="shared" ref="E15:W15" si="4">E6*10</f>
        <v>25640</v>
      </c>
      <c r="F15" s="37">
        <f t="shared" si="4"/>
        <v>26281</v>
      </c>
      <c r="G15" s="37">
        <f t="shared" si="4"/>
        <v>26938.024999999998</v>
      </c>
      <c r="H15" s="37">
        <f t="shared" si="4"/>
        <v>27611.475624999999</v>
      </c>
      <c r="I15" s="37">
        <f t="shared" si="4"/>
        <v>28301.762515624996</v>
      </c>
      <c r="J15" s="37">
        <f t="shared" si="4"/>
        <v>29009.306578515621</v>
      </c>
      <c r="K15" s="37">
        <f t="shared" si="4"/>
        <v>29734.539242978513</v>
      </c>
      <c r="L15" s="37">
        <f t="shared" si="4"/>
        <v>30477.902724052976</v>
      </c>
      <c r="M15" s="37">
        <f t="shared" si="4"/>
        <v>31239.850292154297</v>
      </c>
      <c r="N15" s="37">
        <f t="shared" si="4"/>
        <v>32020.846549458154</v>
      </c>
      <c r="O15" s="37">
        <f t="shared" si="4"/>
        <v>32821.36771319461</v>
      </c>
      <c r="P15" s="37">
        <f t="shared" si="4"/>
        <v>33641.901906024475</v>
      </c>
      <c r="Q15" s="37">
        <f t="shared" si="4"/>
        <v>34482.949453675086</v>
      </c>
      <c r="R15" s="37">
        <f t="shared" si="4"/>
        <v>35345.02319001696</v>
      </c>
      <c r="S15" s="37">
        <f t="shared" si="4"/>
        <v>36228.64876976738</v>
      </c>
      <c r="T15" s="37">
        <f t="shared" si="4"/>
        <v>37134.36498901157</v>
      </c>
      <c r="U15" s="37">
        <f t="shared" si="4"/>
        <v>38062.724113736855</v>
      </c>
      <c r="V15" s="37">
        <f t="shared" si="4"/>
        <v>39014.292216580281</v>
      </c>
      <c r="W15" s="37">
        <f t="shared" si="4"/>
        <v>39989.64952199479</v>
      </c>
      <c r="X15" s="2" t="s">
        <v>95</v>
      </c>
    </row>
    <row r="16" spans="1:24">
      <c r="A16" t="s">
        <v>96</v>
      </c>
      <c r="D16" s="37">
        <f>D6/D18</f>
        <v>3142.8571428571427</v>
      </c>
      <c r="E16" s="37">
        <f t="shared" ref="E16:W16" si="5">84*E6</f>
        <v>215376</v>
      </c>
      <c r="F16" s="37">
        <f t="shared" si="5"/>
        <v>220760.4</v>
      </c>
      <c r="G16" s="37">
        <f t="shared" si="5"/>
        <v>226279.40999999997</v>
      </c>
      <c r="H16" s="37">
        <f t="shared" si="5"/>
        <v>231936.39524999997</v>
      </c>
      <c r="I16" s="37">
        <f t="shared" si="5"/>
        <v>237734.80513124997</v>
      </c>
      <c r="J16" s="37">
        <f t="shared" si="5"/>
        <v>243678.17525953121</v>
      </c>
      <c r="K16" s="37">
        <f t="shared" si="5"/>
        <v>249770.12964101951</v>
      </c>
      <c r="L16" s="37">
        <f t="shared" si="5"/>
        <v>256014.38288204497</v>
      </c>
      <c r="M16" s="37">
        <f t="shared" si="5"/>
        <v>262414.74245409609</v>
      </c>
      <c r="N16" s="37">
        <f t="shared" si="5"/>
        <v>268975.11101544852</v>
      </c>
      <c r="O16" s="37">
        <f t="shared" si="5"/>
        <v>275699.48879083473</v>
      </c>
      <c r="P16" s="37">
        <f t="shared" si="5"/>
        <v>282591.97601060558</v>
      </c>
      <c r="Q16" s="37">
        <f t="shared" si="5"/>
        <v>289656.77541087067</v>
      </c>
      <c r="R16" s="37">
        <f t="shared" si="5"/>
        <v>296898.19479614246</v>
      </c>
      <c r="S16" s="37">
        <f t="shared" si="5"/>
        <v>304320.64966604603</v>
      </c>
      <c r="T16" s="37">
        <f t="shared" si="5"/>
        <v>311928.66590769717</v>
      </c>
      <c r="U16" s="37">
        <f t="shared" si="5"/>
        <v>319726.8825553896</v>
      </c>
      <c r="V16" s="37">
        <f t="shared" si="5"/>
        <v>327720.05461927433</v>
      </c>
      <c r="W16" s="37">
        <f t="shared" si="5"/>
        <v>335913.05598475621</v>
      </c>
    </row>
    <row r="17" spans="1:23">
      <c r="A17" t="s">
        <v>105</v>
      </c>
      <c r="D17" s="37">
        <f>D10*365</f>
        <v>80300</v>
      </c>
      <c r="E17" s="37">
        <f t="shared" ref="E17:W17" si="6">E10*365</f>
        <v>6901214.6875</v>
      </c>
      <c r="F17" s="37">
        <f t="shared" si="6"/>
        <v>7451998.8748046868</v>
      </c>
      <c r="G17" s="37">
        <f t="shared" si="6"/>
        <v>8046024.0388651136</v>
      </c>
      <c r="H17" s="37">
        <f t="shared" si="6"/>
        <v>8686650.2655841336</v>
      </c>
      <c r="I17" s="37">
        <f t="shared" si="6"/>
        <v>9377497.0348368548</v>
      </c>
      <c r="J17" s="37">
        <f t="shared" si="6"/>
        <v>10122463.160624256</v>
      </c>
      <c r="K17" s="37">
        <f t="shared" si="6"/>
        <v>10925748.259832552</v>
      </c>
      <c r="L17" s="37">
        <f t="shared" si="6"/>
        <v>11791875.866568021</v>
      </c>
      <c r="M17" s="37">
        <f t="shared" si="6"/>
        <v>12725718.317976933</v>
      </c>
      <c r="N17" s="37">
        <f t="shared" si="6"/>
        <v>13732523.547082797</v>
      </c>
      <c r="O17" s="37">
        <f t="shared" si="6"/>
        <v>14817943.928530591</v>
      </c>
      <c r="P17" s="37">
        <f t="shared" si="6"/>
        <v>15988067.334276026</v>
      </c>
      <c r="Q17" s="37">
        <f t="shared" si="6"/>
        <v>17249450.568257548</v>
      </c>
      <c r="R17" s="37">
        <f t="shared" si="6"/>
        <v>18609155.362004645</v>
      </c>
      <c r="S17" s="37">
        <f t="shared" si="6"/>
        <v>20074787.127038285</v>
      </c>
      <c r="T17" s="37">
        <f t="shared" si="6"/>
        <v>21654536.674882706</v>
      </c>
      <c r="U17" s="37">
        <f t="shared" si="6"/>
        <v>23357225.131614026</v>
      </c>
      <c r="V17" s="37">
        <f t="shared" si="6"/>
        <v>25192352.291206736</v>
      </c>
      <c r="W17" s="37">
        <f t="shared" si="6"/>
        <v>27170148.670598309</v>
      </c>
    </row>
    <row r="18" spans="1:23">
      <c r="A18" t="s">
        <v>387</v>
      </c>
      <c r="D18" s="209">
        <v>3.5000000000000003E-2</v>
      </c>
      <c r="E18" s="209">
        <f t="shared" ref="E18:W18" si="7">E16/E17</f>
        <v>3.1208419061372665E-2</v>
      </c>
      <c r="F18" s="209">
        <f t="shared" si="7"/>
        <v>2.9624320093014779E-2</v>
      </c>
      <c r="G18" s="209">
        <f t="shared" si="7"/>
        <v>2.8123133725053664E-2</v>
      </c>
      <c r="H18" s="209">
        <f t="shared" si="7"/>
        <v>2.6700326150911686E-2</v>
      </c>
      <c r="I18" s="209">
        <f t="shared" si="7"/>
        <v>2.5351626798502738E-2</v>
      </c>
      <c r="J18" s="209">
        <f t="shared" si="7"/>
        <v>2.4073011814695851E-2</v>
      </c>
      <c r="K18" s="209">
        <f t="shared" si="7"/>
        <v>2.2860688687041695E-2</v>
      </c>
      <c r="L18" s="209">
        <f t="shared" si="7"/>
        <v>2.1711081915973131E-2</v>
      </c>
      <c r="M18" s="209">
        <f t="shared" si="7"/>
        <v>2.0620819658046099E-2</v>
      </c>
      <c r="N18" s="209">
        <f t="shared" si="7"/>
        <v>1.9586721267453203E-2</v>
      </c>
      <c r="O18" s="209">
        <f t="shared" si="7"/>
        <v>1.8605785669090075E-2</v>
      </c>
      <c r="P18" s="209">
        <f t="shared" si="7"/>
        <v>1.7675180501946639E-2</v>
      </c>
      <c r="Q18" s="209">
        <f t="shared" si="7"/>
        <v>1.6792231976588128E-2</v>
      </c>
      <c r="R18" s="209">
        <f t="shared" si="7"/>
        <v>1.5954415395033787E-2</v>
      </c>
      <c r="S18" s="209">
        <f t="shared" si="7"/>
        <v>1.5159346285478829E-2</v>
      </c>
      <c r="T18" s="209">
        <f t="shared" si="7"/>
        <v>1.4404772108077753E-2</v>
      </c>
      <c r="U18" s="209">
        <f t="shared" si="7"/>
        <v>1.3688564491448899E-2</v>
      </c>
      <c r="V18" s="209">
        <f t="shared" si="7"/>
        <v>1.300871196270399E-2</v>
      </c>
      <c r="W18" s="209">
        <f t="shared" si="7"/>
        <v>1.2363313136679981E-2</v>
      </c>
    </row>
    <row r="19" spans="1:23">
      <c r="A19" t="s">
        <v>85</v>
      </c>
      <c r="D19">
        <v>80</v>
      </c>
      <c r="E19">
        <v>80</v>
      </c>
      <c r="F19">
        <v>80</v>
      </c>
      <c r="G19">
        <v>80</v>
      </c>
      <c r="H19">
        <v>80</v>
      </c>
      <c r="I19">
        <v>80</v>
      </c>
      <c r="J19">
        <v>80</v>
      </c>
      <c r="K19">
        <v>80</v>
      </c>
      <c r="L19">
        <v>80</v>
      </c>
      <c r="M19">
        <v>80</v>
      </c>
      <c r="N19">
        <v>80</v>
      </c>
      <c r="O19">
        <v>80</v>
      </c>
      <c r="P19">
        <v>80</v>
      </c>
      <c r="Q19">
        <v>80</v>
      </c>
      <c r="R19">
        <v>80</v>
      </c>
      <c r="S19">
        <v>80</v>
      </c>
      <c r="T19">
        <v>80</v>
      </c>
      <c r="U19">
        <v>80</v>
      </c>
      <c r="V19">
        <v>80</v>
      </c>
      <c r="W19">
        <v>80</v>
      </c>
    </row>
    <row r="20" spans="1:23">
      <c r="A20" t="s">
        <v>86</v>
      </c>
      <c r="D20">
        <v>5</v>
      </c>
      <c r="E20">
        <v>5</v>
      </c>
      <c r="F20">
        <v>5</v>
      </c>
      <c r="G20">
        <v>5</v>
      </c>
      <c r="H20">
        <v>5</v>
      </c>
      <c r="I20">
        <v>5</v>
      </c>
      <c r="J20">
        <v>5</v>
      </c>
      <c r="K20">
        <v>5</v>
      </c>
      <c r="L20">
        <v>5</v>
      </c>
      <c r="M20">
        <v>5</v>
      </c>
      <c r="N20">
        <v>5</v>
      </c>
      <c r="O20">
        <v>5</v>
      </c>
      <c r="P20">
        <v>5</v>
      </c>
      <c r="Q20">
        <v>5</v>
      </c>
      <c r="R20">
        <v>5</v>
      </c>
      <c r="S20">
        <v>5</v>
      </c>
      <c r="T20">
        <v>5</v>
      </c>
      <c r="U20">
        <v>5</v>
      </c>
      <c r="V20">
        <v>5</v>
      </c>
      <c r="W20">
        <v>5</v>
      </c>
    </row>
    <row r="21" spans="1:23">
      <c r="A21" t="s">
        <v>119</v>
      </c>
      <c r="D21" s="210">
        <f>(((D19/365)*D10)+(D10*D18*D20))/D13</f>
        <v>0.13139269406392692</v>
      </c>
      <c r="E21" s="210">
        <f>(((E19/365)*E10)+(E10*E18*E20))/E13</f>
        <v>9.1114621186678443E-2</v>
      </c>
      <c r="F21" s="210">
        <f t="shared" ref="F21:W21" si="8">(((F19/365)*F10)+(F10*F18*F20))/F13</f>
        <v>8.8844081249669568E-2</v>
      </c>
      <c r="G21" s="210">
        <f t="shared" si="8"/>
        <v>8.6701174194057457E-2</v>
      </c>
      <c r="H21" s="210">
        <f t="shared" si="8"/>
        <v>8.4677921852521418E-2</v>
      </c>
      <c r="I21" s="210">
        <f t="shared" si="8"/>
        <v>8.2766908245314505E-2</v>
      </c>
      <c r="J21" s="210">
        <f t="shared" si="8"/>
        <v>8.0961234413266261E-2</v>
      </c>
      <c r="K21" s="210">
        <f t="shared" si="8"/>
        <v>7.9254477398489259E-2</v>
      </c>
      <c r="L21" s="210">
        <f t="shared" si="8"/>
        <v>7.7640652940349456E-2</v>
      </c>
      <c r="M21" s="210">
        <f t="shared" si="8"/>
        <v>7.6114181504847334E-2</v>
      </c>
      <c r="N21" s="210">
        <f t="shared" si="8"/>
        <v>7.4669857309586932E-2</v>
      </c>
      <c r="O21" s="210">
        <f t="shared" si="8"/>
        <v>7.3302820044915756E-2</v>
      </c>
      <c r="P21" s="210">
        <f t="shared" si="8"/>
        <v>7.2008529025387208E-2</v>
      </c>
      <c r="Q21" s="210">
        <f t="shared" si="8"/>
        <v>7.0782739535094244E-2</v>
      </c>
      <c r="R21" s="210">
        <f t="shared" si="8"/>
        <v>6.962148115621912E-2</v>
      </c>
      <c r="S21" s="210">
        <f t="shared" si="8"/>
        <v>6.8521037892819353E-2</v>
      </c>
      <c r="T21" s="210">
        <f t="shared" si="8"/>
        <v>6.7477929921842497E-2</v>
      </c>
      <c r="U21" s="210">
        <f t="shared" si="8"/>
        <v>6.6488896820980151E-2</v>
      </c>
      <c r="V21" s="210">
        <f t="shared" si="8"/>
        <v>6.5550882138544111E-2</v>
      </c>
      <c r="W21" s="210">
        <f t="shared" si="8"/>
        <v>6.4661019184330606E-2</v>
      </c>
    </row>
    <row r="23" spans="1:23">
      <c r="A23" t="s">
        <v>90</v>
      </c>
      <c r="D23" s="38">
        <f>'Cost Assumptions'!B9</f>
        <v>602314</v>
      </c>
      <c r="E23" s="38">
        <f>'Cost Assumptions'!B10</f>
        <v>13474086</v>
      </c>
      <c r="F23" s="38">
        <f>F5*'Cost Assumptions'!$B$11</f>
        <v>307929.99</v>
      </c>
      <c r="G23" s="38">
        <f>G5*'Cost Assumptions'!$B$11</f>
        <v>315628.23975000001</v>
      </c>
      <c r="H23" s="38">
        <f>H5*'Cost Assumptions'!$B$11</f>
        <v>323518.94574374997</v>
      </c>
      <c r="I23" s="38">
        <f>I5*'Cost Assumptions'!$B$11</f>
        <v>331606.91938734369</v>
      </c>
      <c r="J23" s="38">
        <f>J5*'Cost Assumptions'!$B$11</f>
        <v>339897.09237202728</v>
      </c>
      <c r="K23" s="38">
        <f>K5*'Cost Assumptions'!$B$11</f>
        <v>348394.51968132798</v>
      </c>
      <c r="L23" s="38">
        <f>L5*'Cost Assumptions'!$B$11</f>
        <v>357104.38267336116</v>
      </c>
      <c r="M23" s="38">
        <f>M5*'Cost Assumptions'!$B$11</f>
        <v>366031.99224019516</v>
      </c>
      <c r="N23" s="38">
        <f>N5*'Cost Assumptions'!$B$11</f>
        <v>375182.79204620008</v>
      </c>
      <c r="O23" s="38">
        <f>O5*'Cost Assumptions'!$B$11</f>
        <v>384562.36184735509</v>
      </c>
      <c r="P23" s="38">
        <f>P5*'Cost Assumptions'!$B$11</f>
        <v>394176.42089353892</v>
      </c>
      <c r="Q23" s="38">
        <f>Q5*'Cost Assumptions'!$B$11</f>
        <v>404030.83141587739</v>
      </c>
      <c r="R23" s="38">
        <f>R5*'Cost Assumptions'!$B$11</f>
        <v>414131.60220127436</v>
      </c>
      <c r="S23" s="38">
        <f>S5*'Cost Assumptions'!$B$11</f>
        <v>424484.89225630619</v>
      </c>
      <c r="T23" s="38">
        <f>T5*'Cost Assumptions'!$B$11</f>
        <v>435097.01456271386</v>
      </c>
      <c r="U23" s="38">
        <f>U5*'Cost Assumptions'!$B$11</f>
        <v>445974.43992678169</v>
      </c>
      <c r="V23" s="38">
        <f>V5*'Cost Assumptions'!$B$11</f>
        <v>457123.80092495127</v>
      </c>
      <c r="W23" s="38">
        <f>W5*'Cost Assumptions'!$B$11</f>
        <v>468551.89594807499</v>
      </c>
    </row>
    <row r="24" spans="1:23">
      <c r="A24" t="s">
        <v>91</v>
      </c>
      <c r="D24" s="38">
        <f>D6*'Cost Assumptions'!$B$14</f>
        <v>204600</v>
      </c>
      <c r="E24" s="38">
        <f>E6*'Cost Assumptions'!$B$14</f>
        <v>4769040</v>
      </c>
      <c r="F24" s="38">
        <f>F6*'Cost Assumptions'!$B$14</f>
        <v>4888266</v>
      </c>
      <c r="G24" s="38">
        <f>G6*'Cost Assumptions'!$B$14</f>
        <v>5010472.6499999994</v>
      </c>
      <c r="H24" s="38">
        <f>H6*'Cost Assumptions'!$B$14</f>
        <v>5135734.4662499996</v>
      </c>
      <c r="I24" s="38">
        <f>I6*'Cost Assumptions'!$B$14</f>
        <v>5264127.8279062491</v>
      </c>
      <c r="J24" s="38">
        <f>J6*'Cost Assumptions'!$B$14</f>
        <v>5395731.023603905</v>
      </c>
      <c r="K24" s="38">
        <f>K6*'Cost Assumptions'!$B$14</f>
        <v>5530624.2991940035</v>
      </c>
      <c r="L24" s="38">
        <f>L6*'Cost Assumptions'!$B$14</f>
        <v>5668889.9066738533</v>
      </c>
      <c r="M24" s="38">
        <f>M6*'Cost Assumptions'!$B$14</f>
        <v>5810612.1543406993</v>
      </c>
      <c r="N24" s="38">
        <f>N6*'Cost Assumptions'!$B$14</f>
        <v>5955877.458199217</v>
      </c>
      <c r="O24" s="38">
        <f>O6*'Cost Assumptions'!$B$14</f>
        <v>6104774.3946541976</v>
      </c>
      <c r="P24" s="38">
        <f>P6*'Cost Assumptions'!$B$14</f>
        <v>6257393.7545205522</v>
      </c>
      <c r="Q24" s="38">
        <f>Q6*'Cost Assumptions'!$B$14</f>
        <v>6413828.5983835654</v>
      </c>
      <c r="R24" s="38">
        <f>R6*'Cost Assumptions'!$B$14</f>
        <v>6574174.3133431543</v>
      </c>
      <c r="S24" s="38">
        <f>S6*'Cost Assumptions'!$B$14</f>
        <v>6738528.6711767334</v>
      </c>
      <c r="T24" s="38">
        <f>T6*'Cost Assumptions'!$B$14</f>
        <v>6906991.8879561517</v>
      </c>
      <c r="U24" s="38">
        <f>U6*'Cost Assumptions'!$B$14</f>
        <v>7079666.6851550555</v>
      </c>
      <c r="V24" s="38">
        <f>V6*'Cost Assumptions'!$B$14</f>
        <v>7256658.3522839323</v>
      </c>
      <c r="W24" s="38">
        <f>W6*'Cost Assumptions'!$B$14</f>
        <v>7438074.8110910309</v>
      </c>
    </row>
    <row r="25" spans="1:23">
      <c r="A25" t="s">
        <v>287</v>
      </c>
      <c r="D25" s="38"/>
      <c r="E25" s="38"/>
      <c r="F25" s="38"/>
      <c r="G25" s="38"/>
      <c r="H25" s="38"/>
      <c r="I25" s="38">
        <f>D6*'Cost Assumptions'!$B$12</f>
        <v>110330</v>
      </c>
      <c r="J25" s="38">
        <f>E6*'Cost Assumptions'!$B$12</f>
        <v>2571692</v>
      </c>
      <c r="K25" s="38">
        <f>F6*'Cost Assumptions'!$B$12</f>
        <v>2635984.2999999998</v>
      </c>
      <c r="L25" s="38">
        <f>G6*'Cost Assumptions'!$B$12</f>
        <v>2701883.9074999997</v>
      </c>
      <c r="M25" s="38">
        <f>H6*'Cost Assumptions'!$B$12</f>
        <v>2769431.0051874998</v>
      </c>
      <c r="N25" s="38">
        <f>I6*'Cost Assumptions'!$B$12</f>
        <v>2838666.7803171873</v>
      </c>
      <c r="O25" s="38">
        <f>J6*'Cost Assumptions'!$B$12</f>
        <v>2909633.4498251169</v>
      </c>
      <c r="P25" s="38">
        <f>K6*'Cost Assumptions'!$B$12</f>
        <v>2982374.286070745</v>
      </c>
      <c r="Q25" s="38">
        <f>L6*'Cost Assumptions'!$B$12</f>
        <v>3056933.6432225131</v>
      </c>
      <c r="R25" s="38">
        <f>M6*'Cost Assumptions'!$B$12</f>
        <v>3133356.9843030758</v>
      </c>
      <c r="S25" s="38">
        <f>N6*'Cost Assumptions'!$B$12</f>
        <v>3211690.9089106531</v>
      </c>
      <c r="T25" s="38">
        <f>O6*'Cost Assumptions'!$B$12</f>
        <v>3291983.1816334194</v>
      </c>
      <c r="U25" s="38">
        <f>P6*'Cost Assumptions'!$B$12</f>
        <v>3374282.7611742546</v>
      </c>
      <c r="V25" s="38">
        <f>Q6*'Cost Assumptions'!$B$12</f>
        <v>3458639.8302036109</v>
      </c>
      <c r="W25" s="38">
        <f>R6*'Cost Assumptions'!$B$12</f>
        <v>3545105.8259587009</v>
      </c>
    </row>
    <row r="26" spans="1:23">
      <c r="A26" t="s">
        <v>88</v>
      </c>
      <c r="D26" s="38">
        <f>'Price Assumptions'!$B$28*D6</f>
        <v>85800</v>
      </c>
      <c r="E26" s="38">
        <f>'Price Assumptions'!$B$28*E6</f>
        <v>1999920</v>
      </c>
      <c r="F26" s="38">
        <f>'Price Assumptions'!$B$28*F6</f>
        <v>2049918</v>
      </c>
      <c r="G26" s="38">
        <f>'Price Assumptions'!$B$28*G6</f>
        <v>2101165.9499999997</v>
      </c>
      <c r="H26" s="38">
        <f>'Price Assumptions'!$B$28*H6</f>
        <v>2153695.0987499999</v>
      </c>
      <c r="I26" s="38">
        <f>'Price Assumptions'!$B$28*I6</f>
        <v>2207537.4762187498</v>
      </c>
      <c r="J26" s="38">
        <f>'Price Assumptions'!$B$28*J6</f>
        <v>2262725.9131242186</v>
      </c>
      <c r="K26" s="38">
        <f>'Price Assumptions'!$B$28*K6</f>
        <v>2319294.060952324</v>
      </c>
      <c r="L26" s="38">
        <f>'Price Assumptions'!$B$28*L6</f>
        <v>2377276.4124761322</v>
      </c>
      <c r="M26" s="38">
        <f>'Price Assumptions'!$B$28*M6</f>
        <v>2436708.322788035</v>
      </c>
      <c r="N26" s="38">
        <f>'Price Assumptions'!$B$28*N6</f>
        <v>2497626.0308577362</v>
      </c>
      <c r="O26" s="38">
        <f>'Price Assumptions'!$B$28*O6</f>
        <v>2560066.6816291795</v>
      </c>
      <c r="P26" s="38">
        <f>'Price Assumptions'!$B$28*P6</f>
        <v>2624068.3486699089</v>
      </c>
      <c r="Q26" s="38">
        <f>'Price Assumptions'!$B$28*Q6</f>
        <v>2689670.0573866563</v>
      </c>
      <c r="R26" s="38">
        <f>'Price Assumptions'!$B$28*R6</f>
        <v>2756911.8088213229</v>
      </c>
      <c r="S26" s="38">
        <f>'Price Assumptions'!$B$28*S6</f>
        <v>2825834.6040418558</v>
      </c>
      <c r="T26" s="38">
        <f>'Price Assumptions'!$B$28*T6</f>
        <v>2896480.4691429026</v>
      </c>
      <c r="U26" s="38">
        <f>'Price Assumptions'!$B$28*U6</f>
        <v>2968892.4808714748</v>
      </c>
      <c r="V26" s="38">
        <f>'Price Assumptions'!$B$28*V6</f>
        <v>3043114.7928932616</v>
      </c>
      <c r="W26" s="38">
        <f>'Price Assumptions'!$B$28*W6</f>
        <v>3119192.6627155934</v>
      </c>
    </row>
    <row r="27" spans="1:23">
      <c r="A27" t="s">
        <v>93</v>
      </c>
      <c r="D27" s="38">
        <f>(D15*D19)+(D16*D20)</f>
        <v>103714.28571428571</v>
      </c>
      <c r="E27" s="38">
        <f t="shared" ref="E27:W27" si="9">(E15*E19)+(E16*E20)</f>
        <v>3128080</v>
      </c>
      <c r="F27" s="38">
        <f t="shared" si="9"/>
        <v>3206282</v>
      </c>
      <c r="G27" s="38">
        <f t="shared" si="9"/>
        <v>3286439.05</v>
      </c>
      <c r="H27" s="38">
        <f t="shared" si="9"/>
        <v>3368600.0262499996</v>
      </c>
      <c r="I27" s="38">
        <f t="shared" si="9"/>
        <v>3452815.0269062496</v>
      </c>
      <c r="J27" s="38">
        <f t="shared" si="9"/>
        <v>3539135.4025789057</v>
      </c>
      <c r="K27" s="38">
        <f t="shared" si="9"/>
        <v>3627613.7876433786</v>
      </c>
      <c r="L27" s="38">
        <f t="shared" si="9"/>
        <v>3718304.1323344633</v>
      </c>
      <c r="M27" s="38">
        <f t="shared" si="9"/>
        <v>3811261.7356428243</v>
      </c>
      <c r="N27" s="38">
        <f t="shared" si="9"/>
        <v>3906543.2790338951</v>
      </c>
      <c r="O27" s="38">
        <f t="shared" si="9"/>
        <v>4004206.8610097421</v>
      </c>
      <c r="P27" s="38">
        <f t="shared" si="9"/>
        <v>4104312.0325349863</v>
      </c>
      <c r="Q27" s="38">
        <f t="shared" si="9"/>
        <v>4206919.8333483599</v>
      </c>
      <c r="R27" s="38">
        <f t="shared" si="9"/>
        <v>4312092.8291820697</v>
      </c>
      <c r="S27" s="38">
        <f t="shared" si="9"/>
        <v>4419895.1499116207</v>
      </c>
      <c r="T27" s="38">
        <f t="shared" si="9"/>
        <v>4530392.5286594117</v>
      </c>
      <c r="U27" s="38">
        <f t="shared" si="9"/>
        <v>4643652.3418758959</v>
      </c>
      <c r="V27" s="38">
        <f t="shared" si="9"/>
        <v>4759743.6504227938</v>
      </c>
      <c r="W27" s="38">
        <f t="shared" si="9"/>
        <v>4878737.2416833639</v>
      </c>
    </row>
    <row r="28" spans="1:23">
      <c r="A28" t="s">
        <v>99</v>
      </c>
      <c r="D28" s="38">
        <f>D23+D24+D25</f>
        <v>806914</v>
      </c>
      <c r="E28" s="38">
        <f t="shared" ref="E28:W28" si="10">E23+E24+E25</f>
        <v>18243126</v>
      </c>
      <c r="F28" s="38">
        <f t="shared" si="10"/>
        <v>5196195.99</v>
      </c>
      <c r="G28" s="38">
        <f t="shared" si="10"/>
        <v>5326100.8897499992</v>
      </c>
      <c r="H28" s="38">
        <f t="shared" si="10"/>
        <v>5459253.4119937494</v>
      </c>
      <c r="I28" s="38">
        <f t="shared" si="10"/>
        <v>5706064.7472935924</v>
      </c>
      <c r="J28" s="38">
        <f t="shared" si="10"/>
        <v>8307320.1159759322</v>
      </c>
      <c r="K28" s="38">
        <f t="shared" si="10"/>
        <v>8515003.1188753322</v>
      </c>
      <c r="L28" s="38">
        <f t="shared" si="10"/>
        <v>8727878.1968472153</v>
      </c>
      <c r="M28" s="38">
        <f t="shared" si="10"/>
        <v>8946075.1517683938</v>
      </c>
      <c r="N28" s="38">
        <f t="shared" si="10"/>
        <v>9169727.0305626057</v>
      </c>
      <c r="O28" s="38">
        <f t="shared" si="10"/>
        <v>9398970.2063266691</v>
      </c>
      <c r="P28" s="38">
        <f t="shared" si="10"/>
        <v>9633944.4614848364</v>
      </c>
      <c r="Q28" s="38">
        <f t="shared" si="10"/>
        <v>9874793.0730219558</v>
      </c>
      <c r="R28" s="38">
        <f t="shared" si="10"/>
        <v>10121662.899847504</v>
      </c>
      <c r="S28" s="38">
        <f t="shared" si="10"/>
        <v>10374704.472343693</v>
      </c>
      <c r="T28" s="38">
        <f t="shared" si="10"/>
        <v>10634072.084152285</v>
      </c>
      <c r="U28" s="38">
        <f t="shared" si="10"/>
        <v>10899923.886256091</v>
      </c>
      <c r="V28" s="38">
        <f t="shared" si="10"/>
        <v>11172421.983412495</v>
      </c>
      <c r="W28" s="38">
        <f t="shared" si="10"/>
        <v>11451732.532997806</v>
      </c>
    </row>
    <row r="29" spans="1:23">
      <c r="A29" t="s">
        <v>100</v>
      </c>
      <c r="D29" s="38">
        <f>D26+D27</f>
        <v>189514.28571428571</v>
      </c>
      <c r="E29" s="38">
        <f t="shared" ref="E29:W29" si="11">E26+E27</f>
        <v>5128000</v>
      </c>
      <c r="F29" s="38">
        <f t="shared" si="11"/>
        <v>5256200</v>
      </c>
      <c r="G29" s="38">
        <f t="shared" si="11"/>
        <v>5387605</v>
      </c>
      <c r="H29" s="38">
        <f t="shared" si="11"/>
        <v>5522295.125</v>
      </c>
      <c r="I29" s="38">
        <f t="shared" si="11"/>
        <v>5660352.5031249989</v>
      </c>
      <c r="J29" s="38">
        <f t="shared" si="11"/>
        <v>5801861.3157031238</v>
      </c>
      <c r="K29" s="38">
        <f t="shared" si="11"/>
        <v>5946907.848595703</v>
      </c>
      <c r="L29" s="38">
        <f t="shared" si="11"/>
        <v>6095580.544810595</v>
      </c>
      <c r="M29" s="38">
        <f t="shared" si="11"/>
        <v>6247970.0584308598</v>
      </c>
      <c r="N29" s="38">
        <f t="shared" si="11"/>
        <v>6404169.3098916318</v>
      </c>
      <c r="O29" s="38">
        <f t="shared" si="11"/>
        <v>6564273.5426389221</v>
      </c>
      <c r="P29" s="38">
        <f t="shared" si="11"/>
        <v>6728380.3812048957</v>
      </c>
      <c r="Q29" s="38">
        <f t="shared" si="11"/>
        <v>6896589.8907350162</v>
      </c>
      <c r="R29" s="38">
        <f t="shared" si="11"/>
        <v>7069004.6380033921</v>
      </c>
      <c r="S29" s="38">
        <f t="shared" si="11"/>
        <v>7245729.7539534764</v>
      </c>
      <c r="T29" s="38">
        <f t="shared" si="11"/>
        <v>7426872.9978023143</v>
      </c>
      <c r="U29" s="38">
        <f t="shared" si="11"/>
        <v>7612544.8227473702</v>
      </c>
      <c r="V29" s="38">
        <f t="shared" si="11"/>
        <v>7802858.4433160555</v>
      </c>
      <c r="W29" s="38">
        <f t="shared" si="11"/>
        <v>7997929.9043989573</v>
      </c>
    </row>
    <row r="30" spans="1:23">
      <c r="G30" s="38"/>
      <c r="H30" s="38"/>
    </row>
    <row r="31" spans="1:23">
      <c r="A31" t="s">
        <v>143</v>
      </c>
      <c r="D31">
        <v>10</v>
      </c>
      <c r="E31">
        <v>10</v>
      </c>
      <c r="F31">
        <v>10</v>
      </c>
      <c r="G31">
        <v>10</v>
      </c>
      <c r="H31">
        <v>10</v>
      </c>
      <c r="I31">
        <v>10</v>
      </c>
      <c r="J31">
        <v>10</v>
      </c>
      <c r="K31">
        <v>10</v>
      </c>
      <c r="L31">
        <v>10</v>
      </c>
      <c r="M31">
        <v>10</v>
      </c>
      <c r="N31">
        <v>10</v>
      </c>
      <c r="O31">
        <v>10</v>
      </c>
      <c r="P31">
        <v>10</v>
      </c>
      <c r="Q31">
        <v>10</v>
      </c>
      <c r="R31">
        <v>10</v>
      </c>
      <c r="S31">
        <v>10</v>
      </c>
      <c r="T31">
        <v>10</v>
      </c>
      <c r="U31">
        <v>10</v>
      </c>
      <c r="V31">
        <v>10</v>
      </c>
      <c r="W31">
        <v>10</v>
      </c>
    </row>
    <row r="32" spans="1:23">
      <c r="A32" t="s">
        <v>107</v>
      </c>
      <c r="D32">
        <f t="shared" ref="D32" si="12">D12/D31</f>
        <v>0.15</v>
      </c>
      <c r="E32">
        <f t="shared" ref="E32:W32" si="13">E12/E31</f>
        <v>0.15</v>
      </c>
      <c r="F32">
        <f t="shared" si="13"/>
        <v>0.15</v>
      </c>
      <c r="G32">
        <f t="shared" si="13"/>
        <v>0.15</v>
      </c>
      <c r="H32">
        <f t="shared" si="13"/>
        <v>0.15</v>
      </c>
      <c r="I32">
        <f t="shared" si="13"/>
        <v>0.15</v>
      </c>
      <c r="J32">
        <f t="shared" si="13"/>
        <v>0.15</v>
      </c>
      <c r="K32">
        <f t="shared" si="13"/>
        <v>0.15</v>
      </c>
      <c r="L32">
        <f t="shared" si="13"/>
        <v>0.15</v>
      </c>
      <c r="M32">
        <f t="shared" si="13"/>
        <v>0.15</v>
      </c>
      <c r="N32">
        <f t="shared" si="13"/>
        <v>0.15</v>
      </c>
      <c r="O32">
        <f t="shared" si="13"/>
        <v>0.15</v>
      </c>
      <c r="P32">
        <f t="shared" si="13"/>
        <v>0.15</v>
      </c>
      <c r="Q32">
        <f t="shared" si="13"/>
        <v>0.15</v>
      </c>
      <c r="R32">
        <f t="shared" si="13"/>
        <v>0.15</v>
      </c>
      <c r="S32">
        <f t="shared" si="13"/>
        <v>0.15</v>
      </c>
      <c r="T32">
        <f t="shared" si="13"/>
        <v>0.15</v>
      </c>
      <c r="U32">
        <f t="shared" si="13"/>
        <v>0.15</v>
      </c>
      <c r="V32">
        <f t="shared" si="13"/>
        <v>0.15</v>
      </c>
      <c r="W32">
        <f t="shared" si="13"/>
        <v>0.15</v>
      </c>
    </row>
    <row r="33" spans="1:26">
      <c r="A33" s="28" t="s">
        <v>194</v>
      </c>
      <c r="B33" s="28"/>
      <c r="C33" s="28"/>
      <c r="D33" s="128">
        <f>E33</f>
        <v>13.91</v>
      </c>
      <c r="E33" s="128">
        <f>'Price Assumptions'!B6</f>
        <v>13.91</v>
      </c>
      <c r="F33" s="128">
        <f>E33</f>
        <v>13.91</v>
      </c>
      <c r="G33" s="128">
        <f t="shared" ref="G33:W33" si="14">F33</f>
        <v>13.91</v>
      </c>
      <c r="H33" s="128">
        <f t="shared" si="14"/>
        <v>13.91</v>
      </c>
      <c r="I33" s="128">
        <f t="shared" si="14"/>
        <v>13.91</v>
      </c>
      <c r="J33" s="128">
        <f t="shared" si="14"/>
        <v>13.91</v>
      </c>
      <c r="K33" s="128">
        <f t="shared" si="14"/>
        <v>13.91</v>
      </c>
      <c r="L33" s="128">
        <f t="shared" si="14"/>
        <v>13.91</v>
      </c>
      <c r="M33" s="128">
        <f t="shared" si="14"/>
        <v>13.91</v>
      </c>
      <c r="N33" s="128">
        <f t="shared" si="14"/>
        <v>13.91</v>
      </c>
      <c r="O33" s="128">
        <f t="shared" si="14"/>
        <v>13.91</v>
      </c>
      <c r="P33" s="128">
        <f t="shared" si="14"/>
        <v>13.91</v>
      </c>
      <c r="Q33" s="128">
        <f t="shared" si="14"/>
        <v>13.91</v>
      </c>
      <c r="R33" s="128">
        <f t="shared" si="14"/>
        <v>13.91</v>
      </c>
      <c r="S33" s="128">
        <f t="shared" si="14"/>
        <v>13.91</v>
      </c>
      <c r="T33" s="128">
        <f t="shared" si="14"/>
        <v>13.91</v>
      </c>
      <c r="U33" s="128">
        <f t="shared" si="14"/>
        <v>13.91</v>
      </c>
      <c r="V33" s="128">
        <f t="shared" si="14"/>
        <v>13.91</v>
      </c>
      <c r="W33" s="128">
        <f t="shared" si="14"/>
        <v>13.91</v>
      </c>
    </row>
    <row r="34" spans="1:26" s="28" customFormat="1">
      <c r="A34" s="28" t="s">
        <v>199</v>
      </c>
      <c r="D34" s="102">
        <f>D33*D32</f>
        <v>2.0865</v>
      </c>
      <c r="E34" s="102">
        <f>E33*E32</f>
        <v>2.0865</v>
      </c>
      <c r="F34" s="102">
        <f t="shared" ref="F34:W34" si="15">F33*F32</f>
        <v>2.0865</v>
      </c>
      <c r="G34" s="102">
        <f t="shared" si="15"/>
        <v>2.0865</v>
      </c>
      <c r="H34" s="102">
        <f t="shared" si="15"/>
        <v>2.0865</v>
      </c>
      <c r="I34" s="102">
        <f t="shared" si="15"/>
        <v>2.0865</v>
      </c>
      <c r="J34" s="102">
        <f t="shared" si="15"/>
        <v>2.0865</v>
      </c>
      <c r="K34" s="102">
        <f t="shared" si="15"/>
        <v>2.0865</v>
      </c>
      <c r="L34" s="102">
        <f t="shared" si="15"/>
        <v>2.0865</v>
      </c>
      <c r="M34" s="102">
        <f t="shared" si="15"/>
        <v>2.0865</v>
      </c>
      <c r="N34" s="102">
        <f t="shared" si="15"/>
        <v>2.0865</v>
      </c>
      <c r="O34" s="102">
        <f t="shared" si="15"/>
        <v>2.0865</v>
      </c>
      <c r="P34" s="102">
        <f t="shared" si="15"/>
        <v>2.0865</v>
      </c>
      <c r="Q34" s="102">
        <f t="shared" si="15"/>
        <v>2.0865</v>
      </c>
      <c r="R34" s="102">
        <f t="shared" si="15"/>
        <v>2.0865</v>
      </c>
      <c r="S34" s="102">
        <f t="shared" si="15"/>
        <v>2.0865</v>
      </c>
      <c r="T34" s="102">
        <f t="shared" si="15"/>
        <v>2.0865</v>
      </c>
      <c r="U34" s="102">
        <f t="shared" si="15"/>
        <v>2.0865</v>
      </c>
      <c r="V34" s="102">
        <f t="shared" si="15"/>
        <v>2.0865</v>
      </c>
      <c r="W34" s="102">
        <f t="shared" si="15"/>
        <v>2.0865</v>
      </c>
      <c r="X34" s="80"/>
      <c r="Y34" s="102"/>
      <c r="Z34" s="102"/>
    </row>
    <row r="36" spans="1:26" s="28" customFormat="1">
      <c r="A36" s="28" t="s">
        <v>219</v>
      </c>
      <c r="D36" s="135">
        <f>'Bike Mode Shifts'!$F$4</f>
        <v>7.7499999999999999E-2</v>
      </c>
      <c r="E36" s="135">
        <f>'Bike Mode Shifts'!$F$4</f>
        <v>7.7499999999999999E-2</v>
      </c>
      <c r="F36" s="135">
        <f>'Bike Mode Shifts'!$F$4</f>
        <v>7.7499999999999999E-2</v>
      </c>
      <c r="G36" s="135">
        <f>'Bike Mode Shifts'!$F$4</f>
        <v>7.7499999999999999E-2</v>
      </c>
      <c r="H36" s="135">
        <f>'Bike Mode Shifts'!$F$4</f>
        <v>7.7499999999999999E-2</v>
      </c>
      <c r="I36" s="135">
        <f>'Bike Mode Shifts'!$F$4</f>
        <v>7.7499999999999999E-2</v>
      </c>
      <c r="J36" s="135">
        <f>'Bike Mode Shifts'!$F$4</f>
        <v>7.7499999999999999E-2</v>
      </c>
      <c r="K36" s="135">
        <f>'Bike Mode Shifts'!$F$4</f>
        <v>7.7499999999999999E-2</v>
      </c>
      <c r="L36" s="135">
        <f>'Bike Mode Shifts'!$F$4</f>
        <v>7.7499999999999999E-2</v>
      </c>
      <c r="M36" s="135">
        <f>'Bike Mode Shifts'!$F$4</f>
        <v>7.7499999999999999E-2</v>
      </c>
      <c r="N36" s="135">
        <f>'Bike Mode Shifts'!$F$4</f>
        <v>7.7499999999999999E-2</v>
      </c>
      <c r="O36" s="135">
        <f>'Bike Mode Shifts'!$F$4</f>
        <v>7.7499999999999999E-2</v>
      </c>
      <c r="P36" s="135">
        <f>'Bike Mode Shifts'!$F$4</f>
        <v>7.7499999999999999E-2</v>
      </c>
      <c r="Q36" s="135">
        <f>'Bike Mode Shifts'!$F$4</f>
        <v>7.7499999999999999E-2</v>
      </c>
      <c r="R36" s="135">
        <f>'Bike Mode Shifts'!$F$4</f>
        <v>7.7499999999999999E-2</v>
      </c>
      <c r="S36" s="135">
        <f>'Bike Mode Shifts'!$F$4</f>
        <v>7.7499999999999999E-2</v>
      </c>
      <c r="T36" s="135">
        <f>'Bike Mode Shifts'!$F$4</f>
        <v>7.7499999999999999E-2</v>
      </c>
      <c r="U36" s="135">
        <f>'Bike Mode Shifts'!$F$4</f>
        <v>7.7499999999999999E-2</v>
      </c>
      <c r="V36" s="135">
        <f>'Bike Mode Shifts'!$F$4</f>
        <v>7.7499999999999999E-2</v>
      </c>
      <c r="W36" s="135">
        <f>'Bike Mode Shifts'!$F$4</f>
        <v>7.7499999999999999E-2</v>
      </c>
      <c r="X36" s="80"/>
    </row>
    <row r="37" spans="1:26" s="28" customFormat="1">
      <c r="A37" s="28" t="s">
        <v>220</v>
      </c>
      <c r="D37" s="135">
        <f>'Bike Mode Shifts'!$F$2</f>
        <v>0.5</v>
      </c>
      <c r="E37" s="135">
        <f>'Bike Mode Shifts'!$F$2</f>
        <v>0.5</v>
      </c>
      <c r="F37" s="135">
        <f>'Bike Mode Shifts'!$F$2</f>
        <v>0.5</v>
      </c>
      <c r="G37" s="135">
        <f>'Bike Mode Shifts'!$F$2</f>
        <v>0.5</v>
      </c>
      <c r="H37" s="135">
        <f>'Bike Mode Shifts'!$F$2</f>
        <v>0.5</v>
      </c>
      <c r="I37" s="135">
        <f>'Bike Mode Shifts'!$F$2</f>
        <v>0.5</v>
      </c>
      <c r="J37" s="135">
        <f>'Bike Mode Shifts'!$F$2</f>
        <v>0.5</v>
      </c>
      <c r="K37" s="135">
        <f>'Bike Mode Shifts'!$F$2</f>
        <v>0.5</v>
      </c>
      <c r="L37" s="135">
        <f>'Bike Mode Shifts'!$F$2</f>
        <v>0.5</v>
      </c>
      <c r="M37" s="135">
        <f>'Bike Mode Shifts'!$F$2</f>
        <v>0.5</v>
      </c>
      <c r="N37" s="135">
        <f>'Bike Mode Shifts'!$F$2</f>
        <v>0.5</v>
      </c>
      <c r="O37" s="135">
        <f>'Bike Mode Shifts'!$F$2</f>
        <v>0.5</v>
      </c>
      <c r="P37" s="135">
        <f>'Bike Mode Shifts'!$F$2</f>
        <v>0.5</v>
      </c>
      <c r="Q37" s="135">
        <f>'Bike Mode Shifts'!$F$2</f>
        <v>0.5</v>
      </c>
      <c r="R37" s="135">
        <f>'Bike Mode Shifts'!$F$2</f>
        <v>0.5</v>
      </c>
      <c r="S37" s="135">
        <f>'Bike Mode Shifts'!$F$2</f>
        <v>0.5</v>
      </c>
      <c r="T37" s="135">
        <f>'Bike Mode Shifts'!$F$2</f>
        <v>0.5</v>
      </c>
      <c r="U37" s="135">
        <f>'Bike Mode Shifts'!$F$2</f>
        <v>0.5</v>
      </c>
      <c r="V37" s="135">
        <f>'Bike Mode Shifts'!$F$2</f>
        <v>0.5</v>
      </c>
      <c r="W37" s="135">
        <f>'Bike Mode Shifts'!$F$2</f>
        <v>0.5</v>
      </c>
      <c r="X37" s="80"/>
    </row>
    <row r="38" spans="1:26" s="28" customFormat="1">
      <c r="A38" s="28" t="s">
        <v>278</v>
      </c>
      <c r="D38" s="135">
        <f t="shared" ref="D38:D40" si="16">E38</f>
        <v>0.28000000000000003</v>
      </c>
      <c r="E38" s="135">
        <v>0.28000000000000003</v>
      </c>
      <c r="F38" s="135">
        <v>0.28000000000000003</v>
      </c>
      <c r="G38" s="135">
        <v>0.28000000000000003</v>
      </c>
      <c r="H38" s="135">
        <v>0.28000000000000003</v>
      </c>
      <c r="I38" s="135">
        <v>0.28000000000000003</v>
      </c>
      <c r="J38" s="135">
        <v>0.28000000000000003</v>
      </c>
      <c r="K38" s="135">
        <v>0.28000000000000003</v>
      </c>
      <c r="L38" s="135">
        <v>0.28000000000000003</v>
      </c>
      <c r="M38" s="135">
        <v>0.28000000000000003</v>
      </c>
      <c r="N38" s="135">
        <v>0.28000000000000003</v>
      </c>
      <c r="O38" s="135">
        <v>0.28000000000000003</v>
      </c>
      <c r="P38" s="135">
        <v>0.28000000000000003</v>
      </c>
      <c r="Q38" s="135">
        <v>0.28000000000000003</v>
      </c>
      <c r="R38" s="135">
        <v>0.28000000000000003</v>
      </c>
      <c r="S38" s="135">
        <v>0.28000000000000003</v>
      </c>
      <c r="T38" s="135">
        <v>0.28000000000000003</v>
      </c>
      <c r="U38" s="135">
        <v>0.28000000000000003</v>
      </c>
      <c r="V38" s="135">
        <v>0.28000000000000003</v>
      </c>
      <c r="W38" s="135">
        <v>0.28000000000000003</v>
      </c>
      <c r="X38" s="80" t="s">
        <v>190</v>
      </c>
    </row>
    <row r="39" spans="1:26" s="28" customFormat="1">
      <c r="A39" s="28" t="s">
        <v>279</v>
      </c>
      <c r="D39" s="135">
        <f t="shared" si="16"/>
        <v>0.59</v>
      </c>
      <c r="E39" s="135">
        <v>0.59</v>
      </c>
      <c r="F39" s="135">
        <v>0.59</v>
      </c>
      <c r="G39" s="135">
        <v>0.59</v>
      </c>
      <c r="H39" s="135">
        <v>0.59</v>
      </c>
      <c r="I39" s="135">
        <v>0.59</v>
      </c>
      <c r="J39" s="135">
        <v>0.59</v>
      </c>
      <c r="K39" s="135">
        <v>0.59</v>
      </c>
      <c r="L39" s="135">
        <v>0.59</v>
      </c>
      <c r="M39" s="135">
        <v>0.59</v>
      </c>
      <c r="N39" s="135">
        <v>0.59</v>
      </c>
      <c r="O39" s="135">
        <v>0.59</v>
      </c>
      <c r="P39" s="135">
        <v>0.59</v>
      </c>
      <c r="Q39" s="135">
        <v>0.59</v>
      </c>
      <c r="R39" s="135">
        <v>0.59</v>
      </c>
      <c r="S39" s="135">
        <v>0.59</v>
      </c>
      <c r="T39" s="135">
        <v>0.59</v>
      </c>
      <c r="U39" s="135">
        <v>0.59</v>
      </c>
      <c r="V39" s="135">
        <v>0.59</v>
      </c>
      <c r="W39" s="135">
        <v>0.59</v>
      </c>
      <c r="X39" s="80"/>
    </row>
    <row r="40" spans="1:26" s="28" customFormat="1">
      <c r="A40" s="28" t="s">
        <v>122</v>
      </c>
      <c r="D40" s="135">
        <f t="shared" si="16"/>
        <v>8.2600000000000007E-2</v>
      </c>
      <c r="E40" s="135">
        <f>E38*E39*E37</f>
        <v>8.2600000000000007E-2</v>
      </c>
      <c r="F40" s="135">
        <f t="shared" ref="F40:W40" si="17">F38*F39*F37</f>
        <v>8.2600000000000007E-2</v>
      </c>
      <c r="G40" s="135">
        <f t="shared" si="17"/>
        <v>8.2600000000000007E-2</v>
      </c>
      <c r="H40" s="135">
        <f t="shared" si="17"/>
        <v>8.2600000000000007E-2</v>
      </c>
      <c r="I40" s="135">
        <f t="shared" si="17"/>
        <v>8.2600000000000007E-2</v>
      </c>
      <c r="J40" s="135">
        <f t="shared" si="17"/>
        <v>8.2600000000000007E-2</v>
      </c>
      <c r="K40" s="135">
        <f t="shared" si="17"/>
        <v>8.2600000000000007E-2</v>
      </c>
      <c r="L40" s="135">
        <f t="shared" si="17"/>
        <v>8.2600000000000007E-2</v>
      </c>
      <c r="M40" s="135">
        <f t="shared" si="17"/>
        <v>8.2600000000000007E-2</v>
      </c>
      <c r="N40" s="135">
        <f t="shared" si="17"/>
        <v>8.2600000000000007E-2</v>
      </c>
      <c r="O40" s="135">
        <f t="shared" si="17"/>
        <v>8.2600000000000007E-2</v>
      </c>
      <c r="P40" s="135">
        <f t="shared" si="17"/>
        <v>8.2600000000000007E-2</v>
      </c>
      <c r="Q40" s="135">
        <f t="shared" si="17"/>
        <v>8.2600000000000007E-2</v>
      </c>
      <c r="R40" s="135">
        <f t="shared" si="17"/>
        <v>8.2600000000000007E-2</v>
      </c>
      <c r="S40" s="135">
        <f t="shared" si="17"/>
        <v>8.2600000000000007E-2</v>
      </c>
      <c r="T40" s="135">
        <f t="shared" si="17"/>
        <v>8.2600000000000007E-2</v>
      </c>
      <c r="U40" s="135">
        <f t="shared" si="17"/>
        <v>8.2600000000000007E-2</v>
      </c>
      <c r="V40" s="135">
        <f t="shared" si="17"/>
        <v>8.2600000000000007E-2</v>
      </c>
      <c r="W40" s="135">
        <f t="shared" si="17"/>
        <v>8.2600000000000007E-2</v>
      </c>
      <c r="X40" s="80"/>
    </row>
    <row r="41" spans="1:26" s="28" customFormat="1">
      <c r="A41" s="28" t="s">
        <v>284</v>
      </c>
      <c r="D41" s="135">
        <v>0.5</v>
      </c>
      <c r="E41" s="135">
        <v>0.5</v>
      </c>
      <c r="F41" s="135">
        <v>0.5</v>
      </c>
      <c r="G41" s="135">
        <v>0.5</v>
      </c>
      <c r="H41" s="135">
        <v>0.5</v>
      </c>
      <c r="I41" s="135">
        <v>0.5</v>
      </c>
      <c r="J41" s="135">
        <v>0.5</v>
      </c>
      <c r="K41" s="135">
        <v>0.5</v>
      </c>
      <c r="L41" s="135">
        <v>0.5</v>
      </c>
      <c r="M41" s="135">
        <v>0.5</v>
      </c>
      <c r="N41" s="135">
        <v>0.5</v>
      </c>
      <c r="O41" s="135">
        <v>0.5</v>
      </c>
      <c r="P41" s="135">
        <v>0.5</v>
      </c>
      <c r="Q41" s="135">
        <v>0.5</v>
      </c>
      <c r="R41" s="135">
        <v>0.5</v>
      </c>
      <c r="S41" s="135">
        <v>0.5</v>
      </c>
      <c r="T41" s="135">
        <v>0.5</v>
      </c>
      <c r="U41" s="135">
        <v>0.5</v>
      </c>
      <c r="V41" s="135">
        <v>0.5</v>
      </c>
      <c r="W41" s="135">
        <v>0.5</v>
      </c>
      <c r="X41" s="2" t="s">
        <v>391</v>
      </c>
    </row>
    <row r="42" spans="1:26" s="28" customFormat="1">
      <c r="A42" s="28" t="s">
        <v>285</v>
      </c>
      <c r="D42" s="81">
        <v>6.5</v>
      </c>
      <c r="E42" s="81">
        <v>6.5</v>
      </c>
      <c r="F42" s="81">
        <v>6.5</v>
      </c>
      <c r="G42" s="81">
        <v>6.5</v>
      </c>
      <c r="H42" s="81">
        <v>6.5</v>
      </c>
      <c r="I42" s="81">
        <v>6.5</v>
      </c>
      <c r="J42" s="81">
        <v>6.5</v>
      </c>
      <c r="K42" s="81">
        <v>6.5</v>
      </c>
      <c r="L42" s="81">
        <v>6.5</v>
      </c>
      <c r="M42" s="81">
        <v>6.5</v>
      </c>
      <c r="N42" s="81">
        <v>6.5</v>
      </c>
      <c r="O42" s="81">
        <v>6.5</v>
      </c>
      <c r="P42" s="81">
        <v>6.5</v>
      </c>
      <c r="Q42" s="81">
        <v>6.5</v>
      </c>
      <c r="R42" s="81">
        <v>6.5</v>
      </c>
      <c r="S42" s="81">
        <v>6.5</v>
      </c>
      <c r="T42" s="81">
        <v>6.5</v>
      </c>
      <c r="U42" s="81">
        <v>6.5</v>
      </c>
      <c r="V42" s="81">
        <v>6.5</v>
      </c>
      <c r="W42" s="81">
        <v>6.5</v>
      </c>
      <c r="X42" s="2" t="s">
        <v>392</v>
      </c>
    </row>
    <row r="43" spans="1:26" s="28" customFormat="1">
      <c r="A43" s="28" t="s">
        <v>140</v>
      </c>
      <c r="D43" s="135">
        <f>'Bike Mode Shifts'!$F$7</f>
        <v>8.3333333333333329E-2</v>
      </c>
      <c r="E43" s="135">
        <f>'Bike Mode Shifts'!$F$7</f>
        <v>8.3333333333333329E-2</v>
      </c>
      <c r="F43" s="135">
        <f>'Bike Mode Shifts'!$F$7</f>
        <v>8.3333333333333329E-2</v>
      </c>
      <c r="G43" s="135">
        <f>'Bike Mode Shifts'!$F$7</f>
        <v>8.3333333333333329E-2</v>
      </c>
      <c r="H43" s="135">
        <f>'Bike Mode Shifts'!$F$7</f>
        <v>8.3333333333333329E-2</v>
      </c>
      <c r="I43" s="135">
        <f>'Bike Mode Shifts'!$F$7</f>
        <v>8.3333333333333329E-2</v>
      </c>
      <c r="J43" s="135">
        <f>'Bike Mode Shifts'!$F$7</f>
        <v>8.3333333333333329E-2</v>
      </c>
      <c r="K43" s="135">
        <f>'Bike Mode Shifts'!$F$7</f>
        <v>8.3333333333333329E-2</v>
      </c>
      <c r="L43" s="135">
        <f>'Bike Mode Shifts'!$F$7</f>
        <v>8.3333333333333329E-2</v>
      </c>
      <c r="M43" s="135">
        <f>'Bike Mode Shifts'!$F$7</f>
        <v>8.3333333333333329E-2</v>
      </c>
      <c r="N43" s="135">
        <f>'Bike Mode Shifts'!$F$7</f>
        <v>8.3333333333333329E-2</v>
      </c>
      <c r="O43" s="135">
        <f>'Bike Mode Shifts'!$F$7</f>
        <v>8.3333333333333329E-2</v>
      </c>
      <c r="P43" s="135">
        <f>'Bike Mode Shifts'!$F$7</f>
        <v>8.3333333333333329E-2</v>
      </c>
      <c r="Q43" s="135">
        <f>'Bike Mode Shifts'!$F$7</f>
        <v>8.3333333333333329E-2</v>
      </c>
      <c r="R43" s="135">
        <f>'Bike Mode Shifts'!$F$7</f>
        <v>8.3333333333333329E-2</v>
      </c>
      <c r="S43" s="135">
        <f>'Bike Mode Shifts'!$F$7</f>
        <v>8.3333333333333329E-2</v>
      </c>
      <c r="T43" s="135">
        <f>'Bike Mode Shifts'!$F$7</f>
        <v>8.3333333333333329E-2</v>
      </c>
      <c r="U43" s="135">
        <f>'Bike Mode Shifts'!$F$7</f>
        <v>8.3333333333333329E-2</v>
      </c>
      <c r="V43" s="135">
        <f>'Bike Mode Shifts'!$F$7</f>
        <v>8.3333333333333329E-2</v>
      </c>
      <c r="W43" s="135">
        <f>'Bike Mode Shifts'!$F$7</f>
        <v>8.3333333333333329E-2</v>
      </c>
      <c r="X43" s="80"/>
    </row>
    <row r="44" spans="1:26" s="28" customFormat="1">
      <c r="A44" s="28" t="s">
        <v>141</v>
      </c>
      <c r="D44" s="135">
        <f>'Bike Mode Shifts'!$F$3</f>
        <v>0.26</v>
      </c>
      <c r="E44" s="135">
        <f>'Bike Mode Shifts'!$F$3</f>
        <v>0.26</v>
      </c>
      <c r="F44" s="135">
        <f>'Bike Mode Shifts'!$F$3</f>
        <v>0.26</v>
      </c>
      <c r="G44" s="135">
        <f>'Bike Mode Shifts'!$F$3</f>
        <v>0.26</v>
      </c>
      <c r="H44" s="135">
        <f>'Bike Mode Shifts'!$F$3</f>
        <v>0.26</v>
      </c>
      <c r="I44" s="135">
        <f>'Bike Mode Shifts'!$F$3</f>
        <v>0.26</v>
      </c>
      <c r="J44" s="135">
        <f>'Bike Mode Shifts'!$F$3</f>
        <v>0.26</v>
      </c>
      <c r="K44" s="135">
        <f>'Bike Mode Shifts'!$F$3</f>
        <v>0.26</v>
      </c>
      <c r="L44" s="135">
        <f>'Bike Mode Shifts'!$F$3</f>
        <v>0.26</v>
      </c>
      <c r="M44" s="135">
        <f>'Bike Mode Shifts'!$F$3</f>
        <v>0.26</v>
      </c>
      <c r="N44" s="135">
        <f>'Bike Mode Shifts'!$F$3</f>
        <v>0.26</v>
      </c>
      <c r="O44" s="135">
        <f>'Bike Mode Shifts'!$F$3</f>
        <v>0.26</v>
      </c>
      <c r="P44" s="135">
        <f>'Bike Mode Shifts'!$F$3</f>
        <v>0.26</v>
      </c>
      <c r="Q44" s="135">
        <f>'Bike Mode Shifts'!$F$3</f>
        <v>0.26</v>
      </c>
      <c r="R44" s="135">
        <f>'Bike Mode Shifts'!$F$3</f>
        <v>0.26</v>
      </c>
      <c r="S44" s="135">
        <f>'Bike Mode Shifts'!$F$3</f>
        <v>0.26</v>
      </c>
      <c r="T44" s="135">
        <f>'Bike Mode Shifts'!$F$3</f>
        <v>0.26</v>
      </c>
      <c r="U44" s="135">
        <f>'Bike Mode Shifts'!$F$3</f>
        <v>0.26</v>
      </c>
      <c r="V44" s="135">
        <f>'Bike Mode Shifts'!$F$3</f>
        <v>0.26</v>
      </c>
      <c r="W44" s="135">
        <f>'Bike Mode Shifts'!$F$3</f>
        <v>0.26</v>
      </c>
      <c r="X44" s="80"/>
    </row>
    <row r="45" spans="1:26" s="28" customFormat="1">
      <c r="A45" s="28" t="s">
        <v>215</v>
      </c>
      <c r="D45" s="135">
        <f>'Bike Mode Shifts'!$F$6</f>
        <v>2.5000000000000001E-2</v>
      </c>
      <c r="E45" s="135">
        <f>'Bike Mode Shifts'!$F$6</f>
        <v>2.5000000000000001E-2</v>
      </c>
      <c r="F45" s="135">
        <f>'Bike Mode Shifts'!$F$6</f>
        <v>2.5000000000000001E-2</v>
      </c>
      <c r="G45" s="135">
        <f>'Bike Mode Shifts'!$F$6</f>
        <v>2.5000000000000001E-2</v>
      </c>
      <c r="H45" s="135">
        <f>'Bike Mode Shifts'!$F$6</f>
        <v>2.5000000000000001E-2</v>
      </c>
      <c r="I45" s="135">
        <f>'Bike Mode Shifts'!$F$6</f>
        <v>2.5000000000000001E-2</v>
      </c>
      <c r="J45" s="135">
        <f>'Bike Mode Shifts'!$F$6</f>
        <v>2.5000000000000001E-2</v>
      </c>
      <c r="K45" s="135">
        <f>'Bike Mode Shifts'!$F$6</f>
        <v>2.5000000000000001E-2</v>
      </c>
      <c r="L45" s="135">
        <f>'Bike Mode Shifts'!$F$6</f>
        <v>2.5000000000000001E-2</v>
      </c>
      <c r="M45" s="135">
        <f>'Bike Mode Shifts'!$F$6</f>
        <v>2.5000000000000001E-2</v>
      </c>
      <c r="N45" s="135">
        <f>'Bike Mode Shifts'!$F$6</f>
        <v>2.5000000000000001E-2</v>
      </c>
      <c r="O45" s="135">
        <f>'Bike Mode Shifts'!$F$6</f>
        <v>2.5000000000000001E-2</v>
      </c>
      <c r="P45" s="135">
        <f>'Bike Mode Shifts'!$F$6</f>
        <v>2.5000000000000001E-2</v>
      </c>
      <c r="Q45" s="135">
        <f>'Bike Mode Shifts'!$F$6</f>
        <v>2.5000000000000001E-2</v>
      </c>
      <c r="R45" s="135">
        <f>'Bike Mode Shifts'!$F$6</f>
        <v>2.5000000000000001E-2</v>
      </c>
      <c r="S45" s="135">
        <f>'Bike Mode Shifts'!$F$6</f>
        <v>2.5000000000000001E-2</v>
      </c>
      <c r="T45" s="135">
        <f>'Bike Mode Shifts'!$F$6</f>
        <v>2.5000000000000001E-2</v>
      </c>
      <c r="U45" s="135">
        <f>'Bike Mode Shifts'!$F$6</f>
        <v>2.5000000000000001E-2</v>
      </c>
      <c r="V45" s="135">
        <f>'Bike Mode Shifts'!$F$6</f>
        <v>2.5000000000000001E-2</v>
      </c>
      <c r="W45" s="135">
        <f>'Bike Mode Shifts'!$F$6</f>
        <v>2.5000000000000001E-2</v>
      </c>
      <c r="X45" s="80"/>
    </row>
    <row r="46" spans="1:26" s="28" customFormat="1">
      <c r="A46" s="28" t="s">
        <v>216</v>
      </c>
      <c r="D46" s="135">
        <f>'Bike Mode Shifts'!$F$5</f>
        <v>0.05</v>
      </c>
      <c r="E46" s="135">
        <f>'Bike Mode Shifts'!$F$5</f>
        <v>0.05</v>
      </c>
      <c r="F46" s="135">
        <f>'Bike Mode Shifts'!$F$5</f>
        <v>0.05</v>
      </c>
      <c r="G46" s="135">
        <f>'Bike Mode Shifts'!$F$5</f>
        <v>0.05</v>
      </c>
      <c r="H46" s="135">
        <f>'Bike Mode Shifts'!$F$5</f>
        <v>0.05</v>
      </c>
      <c r="I46" s="135">
        <f>'Bike Mode Shifts'!$F$5</f>
        <v>0.05</v>
      </c>
      <c r="J46" s="135">
        <f>'Bike Mode Shifts'!$F$5</f>
        <v>0.05</v>
      </c>
      <c r="K46" s="135">
        <f>'Bike Mode Shifts'!$F$5</f>
        <v>0.05</v>
      </c>
      <c r="L46" s="135">
        <f>'Bike Mode Shifts'!$F$5</f>
        <v>0.05</v>
      </c>
      <c r="M46" s="135">
        <f>'Bike Mode Shifts'!$F$5</f>
        <v>0.05</v>
      </c>
      <c r="N46" s="135">
        <f>'Bike Mode Shifts'!$F$5</f>
        <v>0.05</v>
      </c>
      <c r="O46" s="135">
        <f>'Bike Mode Shifts'!$F$5</f>
        <v>0.05</v>
      </c>
      <c r="P46" s="135">
        <f>'Bike Mode Shifts'!$F$5</f>
        <v>0.05</v>
      </c>
      <c r="Q46" s="135">
        <f>'Bike Mode Shifts'!$F$5</f>
        <v>0.05</v>
      </c>
      <c r="R46" s="135">
        <f>'Bike Mode Shifts'!$F$5</f>
        <v>0.05</v>
      </c>
      <c r="S46" s="135">
        <f>'Bike Mode Shifts'!$F$5</f>
        <v>0.05</v>
      </c>
      <c r="T46" s="135">
        <f>'Bike Mode Shifts'!$F$5</f>
        <v>0.05</v>
      </c>
      <c r="U46" s="135">
        <f>'Bike Mode Shifts'!$F$5</f>
        <v>0.05</v>
      </c>
      <c r="V46" s="135">
        <f>'Bike Mode Shifts'!$F$5</f>
        <v>0.05</v>
      </c>
      <c r="W46" s="135">
        <f>'Bike Mode Shifts'!$F$5</f>
        <v>0.05</v>
      </c>
      <c r="X46" s="80"/>
    </row>
    <row r="47" spans="1:26" s="28" customFormat="1">
      <c r="A47" s="28" t="s">
        <v>217</v>
      </c>
      <c r="D47" s="81">
        <f t="shared" ref="D47:W47" si="18">(D11*D36*D12)+(D11*D12*D45)</f>
        <v>67.650000000000006</v>
      </c>
      <c r="E47" s="81">
        <f t="shared" si="18"/>
        <v>6897.4940624999999</v>
      </c>
      <c r="F47" s="81">
        <f t="shared" si="18"/>
        <v>7464.8209681640619</v>
      </c>
      <c r="G47" s="81">
        <f t="shared" si="18"/>
        <v>8077.5020701695576</v>
      </c>
      <c r="H47" s="81">
        <f t="shared" si="18"/>
        <v>8739.1017116766088</v>
      </c>
      <c r="I47" s="81">
        <f t="shared" si="18"/>
        <v>9453.4613875993109</v>
      </c>
      <c r="J47" s="81">
        <f t="shared" si="18"/>
        <v>10224.721149312996</v>
      </c>
      <c r="K47" s="81">
        <f t="shared" si="18"/>
        <v>11057.342655234628</v>
      </c>
      <c r="L47" s="81">
        <f t="shared" si="18"/>
        <v>11956.133993471038</v>
      </c>
      <c r="M47" s="81">
        <f t="shared" si="18"/>
        <v>12926.276412387197</v>
      </c>
      <c r="N47" s="81">
        <f t="shared" si="18"/>
        <v>13973.35310534261</v>
      </c>
      <c r="O47" s="81">
        <f t="shared" si="18"/>
        <v>15103.380207034241</v>
      </c>
      <c r="P47" s="81">
        <f t="shared" si="18"/>
        <v>16322.840170929947</v>
      </c>
      <c r="Q47" s="81">
        <f t="shared" si="18"/>
        <v>17638.717710242618</v>
      </c>
      <c r="R47" s="81">
        <f t="shared" si="18"/>
        <v>19058.538498852009</v>
      </c>
      <c r="S47" s="81">
        <f t="shared" si="18"/>
        <v>20590.410843605048</v>
      </c>
      <c r="T47" s="81">
        <f t="shared" si="18"/>
        <v>22243.070555596409</v>
      </c>
      <c r="U47" s="81">
        <f t="shared" si="18"/>
        <v>24025.929265438674</v>
      </c>
      <c r="V47" s="81">
        <f t="shared" si="18"/>
        <v>25949.126446267794</v>
      </c>
      <c r="W47" s="81">
        <f t="shared" si="18"/>
        <v>28023.585428398568</v>
      </c>
      <c r="X47" s="80"/>
    </row>
    <row r="48" spans="1:26" s="28" customFormat="1">
      <c r="A48" s="28" t="s">
        <v>123</v>
      </c>
      <c r="D48" s="28">
        <f>D11*D37</f>
        <v>220</v>
      </c>
      <c r="E48" s="28">
        <f>E11*E37</f>
        <v>22430.875</v>
      </c>
      <c r="F48" s="82">
        <f t="shared" ref="F48:W48" si="19">F11*F37</f>
        <v>24275.840546874999</v>
      </c>
      <c r="G48" s="82">
        <f t="shared" si="19"/>
        <v>26268.299415185553</v>
      </c>
      <c r="H48" s="82">
        <f t="shared" si="19"/>
        <v>28419.842964801974</v>
      </c>
      <c r="I48" s="82">
        <f t="shared" si="19"/>
        <v>30742.963862111581</v>
      </c>
      <c r="J48" s="82">
        <f t="shared" si="19"/>
        <v>33251.125688822751</v>
      </c>
      <c r="K48" s="82">
        <f t="shared" si="19"/>
        <v>35958.837903202038</v>
      </c>
      <c r="L48" s="82">
        <f>L11*L37</f>
        <v>38881.736564133455</v>
      </c>
      <c r="M48" s="82">
        <f t="shared" si="19"/>
        <v>42036.671259795759</v>
      </c>
      <c r="N48" s="82">
        <f t="shared" si="19"/>
        <v>45441.798716561338</v>
      </c>
      <c r="O48" s="82">
        <f t="shared" si="19"/>
        <v>49116.683600111355</v>
      </c>
      <c r="P48" s="82">
        <f t="shared" si="19"/>
        <v>53082.407059934791</v>
      </c>
      <c r="Q48" s="82">
        <f t="shared" si="19"/>
        <v>57361.683610545093</v>
      </c>
      <c r="R48" s="82">
        <f t="shared" si="19"/>
        <v>61978.986988136618</v>
      </c>
      <c r="S48" s="82">
        <f t="shared" si="19"/>
        <v>66960.685670260311</v>
      </c>
      <c r="T48" s="82">
        <f t="shared" si="19"/>
        <v>72335.188798687508</v>
      </c>
      <c r="U48" s="82">
        <f t="shared" si="19"/>
        <v>78133.103302239586</v>
      </c>
      <c r="V48" s="82">
        <f t="shared" si="19"/>
        <v>84387.403077293638</v>
      </c>
      <c r="W48" s="82">
        <f t="shared" si="19"/>
        <v>91133.611149263626</v>
      </c>
      <c r="X48" s="80"/>
    </row>
    <row r="49" spans="1:24" s="28" customFormat="1">
      <c r="X49" s="80"/>
    </row>
    <row r="50" spans="1:24" s="27" customFormat="1">
      <c r="A50" s="44" t="s">
        <v>377</v>
      </c>
      <c r="D50" s="150">
        <f>'Bike Crash Data'!S19</f>
        <v>100935.92805606488</v>
      </c>
      <c r="E50" s="150">
        <f>'Bike Crash Data'!T19</f>
        <v>104468.68553802714</v>
      </c>
      <c r="F50" s="150">
        <f>'Bike Crash Data'!U19</f>
        <v>108125.08953185809</v>
      </c>
      <c r="G50" s="150">
        <f>'Bike Crash Data'!V19</f>
        <v>111909.46766547312</v>
      </c>
      <c r="H50" s="150">
        <f>'Bike Crash Data'!W19</f>
        <v>115826.29903376466</v>
      </c>
      <c r="I50" s="150">
        <f>'Bike Crash Data'!X19</f>
        <v>119880.21949994641</v>
      </c>
      <c r="J50" s="150">
        <f>'Bike Crash Data'!Y19</f>
        <v>124076.02718244452</v>
      </c>
      <c r="K50" s="150">
        <f>'Bike Crash Data'!Z19</f>
        <v>128418.68813383007</v>
      </c>
      <c r="L50" s="150">
        <f>'Bike Crash Data'!AA19</f>
        <v>132913.34221851412</v>
      </c>
      <c r="M50" s="150">
        <f>'Bike Crash Data'!AB19</f>
        <v>137565.3091961621</v>
      </c>
      <c r="N50" s="150">
        <f>'Bike Crash Data'!AC19</f>
        <v>142380.09501802776</v>
      </c>
      <c r="O50" s="150">
        <f>'Bike Crash Data'!AD19</f>
        <v>147363.39834365872</v>
      </c>
      <c r="P50" s="150">
        <f>'Bike Crash Data'!AE19</f>
        <v>152521.11728568675</v>
      </c>
      <c r="Q50" s="150">
        <f>'Bike Crash Data'!AF19</f>
        <v>157859.35639068577</v>
      </c>
      <c r="R50" s="150">
        <f>'Bike Crash Data'!AG19</f>
        <v>163384.43386435977</v>
      </c>
      <c r="S50" s="150">
        <f>'Bike Crash Data'!AH19</f>
        <v>169102.88904961236</v>
      </c>
      <c r="T50" s="150">
        <f>'Bike Crash Data'!AI19</f>
        <v>175021.49016634878</v>
      </c>
      <c r="U50" s="150">
        <f>'Bike Crash Data'!AJ19</f>
        <v>181147.24232217099</v>
      </c>
      <c r="V50" s="150">
        <f>'Bike Crash Data'!AK19</f>
        <v>187487.39580344697</v>
      </c>
      <c r="W50" s="150">
        <f>'Bike Crash Data'!AL19</f>
        <v>194049.4546565676</v>
      </c>
      <c r="X50" s="27" t="s">
        <v>351</v>
      </c>
    </row>
    <row r="51" spans="1:24">
      <c r="A51" s="28" t="s">
        <v>272</v>
      </c>
      <c r="D51" s="37">
        <f t="shared" ref="D51:W51" si="20">D50+(D11-(D11*D46))</f>
        <v>101353.92805606488</v>
      </c>
      <c r="E51" s="37">
        <f t="shared" si="20"/>
        <v>147087.34803802715</v>
      </c>
      <c r="F51" s="37">
        <f t="shared" si="20"/>
        <v>154249.18657092057</v>
      </c>
      <c r="G51" s="37">
        <f t="shared" si="20"/>
        <v>161819.23655432567</v>
      </c>
      <c r="H51" s="37">
        <f t="shared" si="20"/>
        <v>169824.00066688843</v>
      </c>
      <c r="I51" s="37">
        <f t="shared" si="20"/>
        <v>178291.85083795842</v>
      </c>
      <c r="J51" s="37">
        <f t="shared" si="20"/>
        <v>187253.16599120776</v>
      </c>
      <c r="K51" s="37">
        <f t="shared" si="20"/>
        <v>196740.48014991393</v>
      </c>
      <c r="L51" s="37">
        <f t="shared" si="20"/>
        <v>206788.64169036769</v>
      </c>
      <c r="M51" s="37">
        <f t="shared" si="20"/>
        <v>217434.98458977405</v>
      </c>
      <c r="N51" s="37">
        <f t="shared" si="20"/>
        <v>228719.5125794943</v>
      </c>
      <c r="O51" s="37">
        <f t="shared" si="20"/>
        <v>240685.0971838703</v>
      </c>
      <c r="P51" s="37">
        <f t="shared" si="20"/>
        <v>253377.69069956284</v>
      </c>
      <c r="Q51" s="37">
        <f t="shared" si="20"/>
        <v>266846.55525072146</v>
      </c>
      <c r="R51" s="37">
        <f t="shared" si="20"/>
        <v>281144.50914181932</v>
      </c>
      <c r="S51" s="37">
        <f t="shared" si="20"/>
        <v>296328.19182310696</v>
      </c>
      <c r="T51" s="37">
        <f t="shared" si="20"/>
        <v>312458.34888385504</v>
      </c>
      <c r="U51" s="37">
        <f t="shared" si="20"/>
        <v>329600.13859642623</v>
      </c>
      <c r="V51" s="37">
        <f t="shared" si="20"/>
        <v>347823.46165030485</v>
      </c>
      <c r="W51" s="37">
        <f t="shared" si="20"/>
        <v>367203.31584016851</v>
      </c>
    </row>
    <row r="55" spans="1:24">
      <c r="A55" t="s">
        <v>280</v>
      </c>
      <c r="C55">
        <v>987356</v>
      </c>
      <c r="W55">
        <f>(1229291+55435)-W57</f>
        <v>848093</v>
      </c>
    </row>
    <row r="56" spans="1:24">
      <c r="A56" t="s">
        <v>281</v>
      </c>
      <c r="C56">
        <v>506214</v>
      </c>
      <c r="W56">
        <f>1351440-W58</f>
        <v>429391</v>
      </c>
    </row>
    <row r="57" spans="1:24">
      <c r="A57" t="s">
        <v>282</v>
      </c>
      <c r="C57">
        <v>1531400</v>
      </c>
      <c r="W57">
        <f>417780+18853</f>
        <v>436633</v>
      </c>
    </row>
    <row r="58" spans="1:24">
      <c r="A58" t="s">
        <v>283</v>
      </c>
      <c r="C58">
        <v>982735</v>
      </c>
      <c r="W58">
        <v>922049</v>
      </c>
    </row>
    <row r="59" spans="1:24">
      <c r="C59">
        <f>(C55+C56)/(C57+C58)</f>
        <v>0.59406913312133203</v>
      </c>
      <c r="W59">
        <f>(W55+W56)/(W57+W58)</f>
        <v>0.94023767150812332</v>
      </c>
    </row>
    <row r="61" spans="1:24">
      <c r="A61" t="s">
        <v>352</v>
      </c>
      <c r="B61" s="111" t="s">
        <v>353</v>
      </c>
    </row>
    <row r="62" spans="1:24">
      <c r="A62" s="111" t="s">
        <v>356</v>
      </c>
      <c r="B62">
        <v>2.5</v>
      </c>
    </row>
    <row r="63" spans="1:24">
      <c r="A63" t="s">
        <v>354</v>
      </c>
      <c r="B63" s="111">
        <v>5.4</v>
      </c>
    </row>
    <row r="64" spans="1:24">
      <c r="A64" t="s">
        <v>355</v>
      </c>
      <c r="B64" s="111">
        <v>16</v>
      </c>
      <c r="C64" s="111"/>
    </row>
  </sheetData>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A40"/>
  <sheetViews>
    <sheetView workbookViewId="0">
      <pane xSplit="1" ySplit="2" topLeftCell="B9" activePane="bottomRight" state="frozen"/>
      <selection pane="topRight" activeCell="B1" sqref="B1"/>
      <selection pane="bottomLeft" activeCell="A3" sqref="A3"/>
      <selection pane="bottomRight" activeCell="A30" sqref="A30"/>
    </sheetView>
  </sheetViews>
  <sheetFormatPr defaultRowHeight="13.2"/>
  <cols>
    <col min="1" max="1" width="54.109375" bestFit="1" customWidth="1"/>
    <col min="2" max="2" width="12.6640625" bestFit="1" customWidth="1"/>
    <col min="3" max="3" width="14" bestFit="1" customWidth="1"/>
    <col min="4" max="4" width="11.109375" customWidth="1"/>
    <col min="5" max="5" width="14.33203125" bestFit="1" customWidth="1"/>
    <col min="6" max="6" width="11.5546875" bestFit="1" customWidth="1"/>
    <col min="7" max="8" width="11.33203125" bestFit="1" customWidth="1"/>
    <col min="9" max="12" width="10.5546875" bestFit="1" customWidth="1"/>
    <col min="13" max="19" width="12.33203125" bestFit="1" customWidth="1"/>
    <col min="20" max="21" width="11.5546875" bestFit="1" customWidth="1"/>
    <col min="22" max="23" width="11.33203125" bestFit="1" customWidth="1"/>
    <col min="24" max="24" width="40.6640625" style="2" customWidth="1"/>
  </cols>
  <sheetData>
    <row r="1" spans="1:24" s="96" customFormat="1">
      <c r="A1" s="225"/>
      <c r="B1" s="225"/>
      <c r="D1" s="94">
        <v>2011</v>
      </c>
      <c r="E1" s="94">
        <v>2012</v>
      </c>
      <c r="F1" s="94">
        <v>2013</v>
      </c>
      <c r="G1" s="94">
        <v>2014</v>
      </c>
      <c r="H1" s="94">
        <v>2015</v>
      </c>
      <c r="I1" s="94">
        <v>2016</v>
      </c>
      <c r="J1" s="94">
        <v>2017</v>
      </c>
      <c r="K1" s="94">
        <v>2018</v>
      </c>
      <c r="L1" s="94">
        <v>2019</v>
      </c>
      <c r="M1" s="94">
        <v>2020</v>
      </c>
      <c r="N1" s="94">
        <v>2021</v>
      </c>
      <c r="O1" s="94">
        <v>2022</v>
      </c>
      <c r="P1" s="94">
        <v>2023</v>
      </c>
      <c r="Q1" s="94">
        <v>2024</v>
      </c>
      <c r="R1" s="94">
        <v>2025</v>
      </c>
      <c r="S1" s="94">
        <v>2026</v>
      </c>
      <c r="T1" s="94">
        <v>2027</v>
      </c>
      <c r="U1" s="94">
        <v>2028</v>
      </c>
      <c r="V1" s="94">
        <v>2029</v>
      </c>
      <c r="W1" s="94">
        <v>2030</v>
      </c>
      <c r="X1" s="97"/>
    </row>
    <row r="2" spans="1:24" s="96" customFormat="1">
      <c r="A2" s="225"/>
      <c r="B2" s="226" t="s">
        <v>385</v>
      </c>
      <c r="C2" s="224" t="s">
        <v>233</v>
      </c>
      <c r="D2" s="94" t="s">
        <v>22</v>
      </c>
      <c r="E2" s="94" t="s">
        <v>23</v>
      </c>
      <c r="F2" s="94" t="s">
        <v>24</v>
      </c>
      <c r="G2" s="94" t="s">
        <v>25</v>
      </c>
      <c r="H2" s="94" t="s">
        <v>26</v>
      </c>
      <c r="I2" s="94" t="s">
        <v>27</v>
      </c>
      <c r="J2" s="94" t="s">
        <v>28</v>
      </c>
      <c r="K2" s="94" t="s">
        <v>29</v>
      </c>
      <c r="L2" s="94" t="s">
        <v>30</v>
      </c>
      <c r="M2" s="94" t="s">
        <v>31</v>
      </c>
      <c r="N2" s="94" t="s">
        <v>32</v>
      </c>
      <c r="O2" s="94" t="s">
        <v>33</v>
      </c>
      <c r="P2" s="94" t="s">
        <v>34</v>
      </c>
      <c r="Q2" s="94" t="s">
        <v>35</v>
      </c>
      <c r="R2" s="94" t="s">
        <v>36</v>
      </c>
      <c r="S2" s="94" t="s">
        <v>37</v>
      </c>
      <c r="T2" s="94" t="s">
        <v>38</v>
      </c>
      <c r="U2" s="94" t="s">
        <v>39</v>
      </c>
      <c r="V2" s="94" t="s">
        <v>40</v>
      </c>
      <c r="W2" s="94" t="s">
        <v>174</v>
      </c>
      <c r="X2" s="97" t="s">
        <v>54</v>
      </c>
    </row>
    <row r="3" spans="1:24">
      <c r="A3" s="227" t="s">
        <v>383</v>
      </c>
      <c r="B3" s="228">
        <v>186</v>
      </c>
      <c r="D3" s="37"/>
      <c r="E3" s="37"/>
      <c r="F3" s="37"/>
      <c r="G3" s="37"/>
      <c r="H3" s="37"/>
      <c r="I3" s="37"/>
      <c r="J3" s="37"/>
      <c r="K3" s="37"/>
      <c r="L3" s="37"/>
      <c r="M3" s="37"/>
      <c r="N3" s="37"/>
      <c r="O3" s="37"/>
      <c r="P3" s="37"/>
      <c r="Q3" s="37"/>
      <c r="R3" s="37"/>
      <c r="S3" s="37"/>
      <c r="T3" s="37"/>
      <c r="U3" s="37"/>
      <c r="V3" s="37"/>
      <c r="W3" s="37"/>
    </row>
    <row r="4" spans="1:24">
      <c r="A4" s="228" t="s">
        <v>384</v>
      </c>
      <c r="B4" s="228">
        <v>2</v>
      </c>
      <c r="E4" s="37"/>
      <c r="F4" s="37"/>
      <c r="G4" s="37"/>
      <c r="H4" s="37"/>
      <c r="I4" s="37"/>
      <c r="J4" s="37"/>
      <c r="K4" s="37"/>
      <c r="L4" s="37"/>
      <c r="M4" s="37"/>
      <c r="N4" s="37"/>
      <c r="O4" s="37"/>
      <c r="P4" s="37"/>
      <c r="Q4" s="37"/>
      <c r="R4" s="37"/>
      <c r="S4" s="37"/>
      <c r="T4" s="37"/>
      <c r="U4" s="37"/>
      <c r="V4" s="37"/>
      <c r="W4" s="37"/>
      <c r="X4" s="2" t="s">
        <v>386</v>
      </c>
    </row>
    <row r="5" spans="1:24">
      <c r="A5" s="228" t="s">
        <v>423</v>
      </c>
      <c r="B5" s="228">
        <v>0.8</v>
      </c>
      <c r="E5" s="37"/>
      <c r="F5" s="37"/>
      <c r="G5" s="37"/>
      <c r="H5" s="37"/>
      <c r="I5" s="37"/>
      <c r="J5" s="37"/>
      <c r="K5" s="37"/>
      <c r="L5" s="37"/>
      <c r="M5" s="37"/>
      <c r="N5" s="37"/>
      <c r="O5" s="37"/>
      <c r="P5" s="37"/>
      <c r="Q5" s="37"/>
      <c r="R5" s="37"/>
      <c r="S5" s="37"/>
      <c r="T5" s="37"/>
      <c r="U5" s="37"/>
      <c r="V5" s="37"/>
      <c r="W5" s="37"/>
      <c r="X5" s="2" t="s">
        <v>386</v>
      </c>
    </row>
    <row r="6" spans="1:24">
      <c r="A6" s="228" t="s">
        <v>424</v>
      </c>
      <c r="B6" s="228">
        <v>1</v>
      </c>
      <c r="E6" s="37"/>
      <c r="F6" s="37"/>
      <c r="G6" s="37"/>
      <c r="H6" s="37"/>
      <c r="I6" s="37"/>
      <c r="J6" s="37"/>
      <c r="K6" s="37"/>
      <c r="L6" s="37"/>
      <c r="M6" s="37"/>
      <c r="N6" s="37"/>
      <c r="O6" s="37"/>
      <c r="P6" s="37"/>
      <c r="Q6" s="37"/>
      <c r="R6" s="37"/>
      <c r="S6" s="37"/>
      <c r="T6" s="37"/>
      <c r="U6" s="37"/>
      <c r="V6" s="37"/>
      <c r="W6" s="37"/>
    </row>
    <row r="7" spans="1:24">
      <c r="A7" s="228" t="s">
        <v>114</v>
      </c>
      <c r="B7" s="228">
        <v>1.5</v>
      </c>
      <c r="E7" s="37"/>
      <c r="F7" s="37"/>
      <c r="G7" s="37"/>
      <c r="H7" s="37"/>
      <c r="I7" s="37"/>
      <c r="J7" s="37"/>
      <c r="K7" s="37"/>
      <c r="L7" s="37"/>
      <c r="M7" s="37"/>
      <c r="N7" s="37"/>
      <c r="O7" s="37"/>
      <c r="P7" s="37"/>
      <c r="Q7" s="37"/>
      <c r="R7" s="37"/>
      <c r="S7" s="37"/>
      <c r="T7" s="37"/>
      <c r="U7" s="37"/>
      <c r="V7" s="37"/>
      <c r="W7" s="37"/>
    </row>
    <row r="8" spans="1:24">
      <c r="A8" s="228"/>
      <c r="B8" s="228"/>
      <c r="E8" s="37"/>
      <c r="F8" s="37"/>
      <c r="G8" s="37"/>
      <c r="H8" s="37"/>
      <c r="I8" s="37"/>
      <c r="J8" s="37"/>
      <c r="K8" s="37"/>
      <c r="L8" s="37"/>
      <c r="M8" s="37"/>
      <c r="N8" s="37"/>
      <c r="O8" s="37"/>
      <c r="P8" s="37"/>
      <c r="Q8" s="37"/>
      <c r="R8" s="37"/>
      <c r="S8" s="37"/>
      <c r="T8" s="37"/>
      <c r="U8" s="37"/>
      <c r="V8" s="37"/>
      <c r="W8" s="37"/>
    </row>
    <row r="9" spans="1:24">
      <c r="A9" s="228" t="s">
        <v>85</v>
      </c>
      <c r="B9" s="228">
        <v>100</v>
      </c>
      <c r="E9" s="37"/>
      <c r="F9" s="37"/>
      <c r="G9" s="37"/>
      <c r="H9" s="37"/>
      <c r="I9" s="37"/>
      <c r="J9" s="37"/>
      <c r="K9" s="37"/>
      <c r="L9" s="37"/>
      <c r="M9" s="37"/>
      <c r="N9" s="37"/>
      <c r="O9" s="37"/>
      <c r="P9" s="37"/>
      <c r="Q9" s="37"/>
      <c r="R9" s="37"/>
      <c r="S9" s="37"/>
      <c r="T9" s="37"/>
      <c r="U9" s="37"/>
      <c r="V9" s="37"/>
      <c r="W9" s="37"/>
    </row>
    <row r="10" spans="1:24">
      <c r="A10" s="228"/>
      <c r="B10" s="228"/>
      <c r="E10" s="37"/>
      <c r="F10" s="37"/>
      <c r="G10" s="37"/>
      <c r="H10" s="37"/>
      <c r="I10" s="37"/>
      <c r="J10" s="37"/>
      <c r="K10" s="37"/>
      <c r="L10" s="37"/>
      <c r="M10" s="37"/>
      <c r="N10" s="37"/>
      <c r="O10" s="37"/>
      <c r="P10" s="37"/>
      <c r="Q10" s="37"/>
      <c r="R10" s="37"/>
      <c r="S10" s="37"/>
      <c r="T10" s="37"/>
      <c r="U10" s="37"/>
      <c r="V10" s="37"/>
      <c r="W10" s="37"/>
    </row>
    <row r="11" spans="1:24">
      <c r="A11" s="228" t="s">
        <v>143</v>
      </c>
      <c r="B11" s="228">
        <v>10</v>
      </c>
      <c r="E11" s="37"/>
      <c r="F11" s="37"/>
      <c r="G11" s="37"/>
      <c r="H11" s="37"/>
      <c r="I11" s="37"/>
      <c r="J11" s="37"/>
      <c r="K11" s="37"/>
      <c r="L11" s="37"/>
      <c r="M11" s="37"/>
      <c r="N11" s="37"/>
      <c r="O11" s="37"/>
      <c r="P11" s="37"/>
      <c r="Q11" s="37"/>
      <c r="R11" s="37"/>
      <c r="S11" s="37"/>
      <c r="T11" s="37"/>
      <c r="U11" s="37"/>
      <c r="V11" s="37"/>
      <c r="W11" s="37"/>
    </row>
    <row r="12" spans="1:24">
      <c r="A12" s="228" t="s">
        <v>107</v>
      </c>
      <c r="B12" s="228">
        <f>$B$7/B11</f>
        <v>0.15</v>
      </c>
      <c r="E12" s="37"/>
      <c r="F12" s="37"/>
      <c r="G12" s="37"/>
      <c r="H12" s="37"/>
      <c r="I12" s="37"/>
      <c r="J12" s="37"/>
      <c r="K12" s="37"/>
      <c r="L12" s="37"/>
      <c r="M12" s="37"/>
      <c r="N12" s="37"/>
      <c r="O12" s="37"/>
      <c r="P12" s="37"/>
      <c r="Q12" s="37"/>
      <c r="R12" s="37"/>
      <c r="S12" s="37"/>
      <c r="T12" s="37"/>
      <c r="U12" s="37"/>
      <c r="V12" s="37"/>
      <c r="W12" s="37"/>
    </row>
    <row r="13" spans="1:24">
      <c r="A13" s="229" t="s">
        <v>194</v>
      </c>
      <c r="B13" s="230">
        <f>'Price Assumptions'!B6</f>
        <v>13.91</v>
      </c>
      <c r="E13" s="37"/>
      <c r="F13" s="37"/>
      <c r="G13" s="37"/>
      <c r="H13" s="37"/>
      <c r="I13" s="37"/>
      <c r="J13" s="37"/>
      <c r="K13" s="37"/>
      <c r="L13" s="37"/>
      <c r="M13" s="37"/>
      <c r="N13" s="37"/>
      <c r="O13" s="37"/>
      <c r="P13" s="37"/>
      <c r="Q13" s="37"/>
      <c r="R13" s="37"/>
      <c r="S13" s="37"/>
      <c r="T13" s="37"/>
      <c r="U13" s="37"/>
      <c r="V13" s="37"/>
      <c r="W13" s="37"/>
    </row>
    <row r="14" spans="1:24">
      <c r="A14" s="229" t="s">
        <v>199</v>
      </c>
      <c r="B14" s="231">
        <f>B13*B12</f>
        <v>2.0865</v>
      </c>
      <c r="E14" s="37"/>
      <c r="F14" s="37"/>
      <c r="G14" s="37"/>
      <c r="H14" s="37"/>
      <c r="I14" s="37"/>
      <c r="J14" s="37"/>
      <c r="K14" s="37"/>
      <c r="L14" s="37"/>
      <c r="M14" s="37"/>
      <c r="N14" s="37"/>
      <c r="O14" s="37"/>
      <c r="P14" s="37"/>
      <c r="Q14" s="37"/>
      <c r="R14" s="37"/>
      <c r="S14" s="37"/>
      <c r="T14" s="37"/>
      <c r="U14" s="37"/>
      <c r="V14" s="37"/>
      <c r="W14" s="37"/>
    </row>
    <row r="15" spans="1:24">
      <c r="A15" s="228"/>
      <c r="B15" s="228"/>
      <c r="E15" s="37"/>
      <c r="F15" s="37"/>
      <c r="G15" s="37"/>
      <c r="H15" s="37"/>
      <c r="I15" s="37"/>
      <c r="J15" s="37"/>
      <c r="K15" s="37"/>
      <c r="L15" s="37"/>
      <c r="M15" s="37"/>
      <c r="N15" s="37"/>
      <c r="O15" s="37"/>
      <c r="P15" s="37"/>
      <c r="Q15" s="37"/>
      <c r="R15" s="37"/>
      <c r="S15" s="37"/>
      <c r="T15" s="37"/>
      <c r="U15" s="37"/>
      <c r="V15" s="37"/>
      <c r="W15" s="37"/>
      <c r="X15" s="2" t="s">
        <v>395</v>
      </c>
    </row>
    <row r="16" spans="1:24">
      <c r="A16" s="228" t="s">
        <v>422</v>
      </c>
      <c r="B16" s="234">
        <v>0.6</v>
      </c>
      <c r="E16" s="37"/>
      <c r="F16" s="37"/>
      <c r="G16" s="37"/>
      <c r="H16" s="37"/>
      <c r="I16" s="37"/>
      <c r="J16" s="37"/>
      <c r="K16" s="37"/>
      <c r="L16" s="37"/>
      <c r="M16" s="37"/>
      <c r="N16" s="37"/>
      <c r="O16" s="37"/>
      <c r="P16" s="37"/>
      <c r="Q16" s="37"/>
      <c r="R16" s="37"/>
      <c r="S16" s="37"/>
      <c r="T16" s="37"/>
      <c r="U16" s="37"/>
      <c r="V16" s="37"/>
      <c r="W16" s="37"/>
      <c r="X16" s="2" t="s">
        <v>386</v>
      </c>
    </row>
    <row r="17" spans="1:27">
      <c r="A17" s="235" t="s">
        <v>393</v>
      </c>
      <c r="B17" s="234">
        <v>0.3</v>
      </c>
      <c r="C17" s="233"/>
      <c r="E17" s="37"/>
      <c r="F17" s="37"/>
      <c r="G17" s="37"/>
      <c r="H17" s="37"/>
      <c r="I17" s="37"/>
      <c r="J17" s="37"/>
      <c r="K17" s="37"/>
      <c r="L17" s="37"/>
      <c r="M17" s="37"/>
      <c r="N17" s="37"/>
      <c r="O17" s="37"/>
      <c r="P17" s="37"/>
      <c r="Q17" s="37"/>
      <c r="R17" s="37"/>
      <c r="S17" s="37"/>
      <c r="T17" s="37"/>
      <c r="U17" s="37"/>
      <c r="V17" s="37"/>
      <c r="W17" s="37"/>
      <c r="X17" s="2" t="s">
        <v>386</v>
      </c>
    </row>
    <row r="18" spans="1:27">
      <c r="A18" s="228" t="s">
        <v>394</v>
      </c>
      <c r="B18" s="234">
        <v>0.4</v>
      </c>
      <c r="E18" s="37"/>
      <c r="F18" s="37"/>
      <c r="G18" s="37"/>
      <c r="H18" s="37"/>
      <c r="I18" s="37"/>
      <c r="J18" s="37"/>
      <c r="K18" s="37"/>
      <c r="L18" s="37"/>
      <c r="M18" s="37"/>
      <c r="N18" s="37"/>
      <c r="O18" s="37"/>
      <c r="P18" s="37"/>
      <c r="Q18" s="37"/>
      <c r="R18" s="37"/>
      <c r="S18" s="37"/>
      <c r="T18" s="37"/>
      <c r="U18" s="37"/>
      <c r="V18" s="37"/>
      <c r="W18" s="37"/>
      <c r="X18" s="2" t="s">
        <v>386</v>
      </c>
    </row>
    <row r="19" spans="1:27">
      <c r="A19" s="235" t="s">
        <v>393</v>
      </c>
      <c r="B19" s="234">
        <v>0.3</v>
      </c>
      <c r="C19" s="233"/>
      <c r="E19" s="37"/>
      <c r="F19" s="37"/>
      <c r="G19" s="37"/>
      <c r="H19" s="37"/>
      <c r="I19" s="37"/>
      <c r="J19" s="37"/>
      <c r="K19" s="37"/>
      <c r="L19" s="37"/>
      <c r="M19" s="37"/>
      <c r="N19" s="37"/>
      <c r="O19" s="37"/>
      <c r="P19" s="37"/>
      <c r="Q19" s="37"/>
      <c r="R19" s="37"/>
      <c r="S19" s="37"/>
      <c r="T19" s="37"/>
      <c r="U19" s="37"/>
      <c r="V19" s="37"/>
      <c r="W19" s="37"/>
      <c r="X19" s="2" t="s">
        <v>386</v>
      </c>
    </row>
    <row r="20" spans="1:27">
      <c r="A20" s="235"/>
      <c r="B20" s="232"/>
      <c r="E20" s="37"/>
      <c r="F20" s="37"/>
      <c r="G20" s="37"/>
      <c r="H20" s="37"/>
      <c r="I20" s="37"/>
      <c r="J20" s="37"/>
      <c r="K20" s="37"/>
      <c r="L20" s="37"/>
      <c r="M20" s="37"/>
      <c r="N20" s="37"/>
      <c r="O20" s="37"/>
      <c r="P20" s="37"/>
      <c r="Q20" s="37"/>
      <c r="R20" s="37"/>
      <c r="S20" s="37"/>
      <c r="T20" s="37"/>
      <c r="U20" s="37"/>
      <c r="V20" s="37"/>
      <c r="W20" s="37"/>
    </row>
    <row r="21" spans="1:27">
      <c r="A21" s="229" t="s">
        <v>285</v>
      </c>
      <c r="B21" s="236">
        <v>6.5</v>
      </c>
      <c r="E21" s="37"/>
      <c r="F21" s="37"/>
      <c r="G21" s="37"/>
      <c r="H21" s="37"/>
      <c r="I21" s="37"/>
      <c r="J21" s="37"/>
      <c r="K21" s="37"/>
      <c r="L21" s="37"/>
      <c r="M21" s="37"/>
      <c r="N21" s="37"/>
      <c r="O21" s="37"/>
      <c r="P21" s="37"/>
      <c r="Q21" s="37"/>
      <c r="R21" s="37"/>
      <c r="S21" s="37"/>
      <c r="T21" s="37"/>
      <c r="U21" s="37"/>
      <c r="V21" s="37"/>
      <c r="W21" s="37"/>
    </row>
    <row r="22" spans="1:27">
      <c r="A22" s="28"/>
      <c r="B22" s="135"/>
      <c r="E22" s="37"/>
      <c r="F22" s="37"/>
      <c r="G22" s="37"/>
      <c r="H22" s="37"/>
      <c r="I22" s="37"/>
      <c r="J22" s="37"/>
      <c r="K22" s="37"/>
      <c r="L22" s="37"/>
      <c r="M22" s="37"/>
      <c r="N22" s="37"/>
      <c r="O22" s="37"/>
      <c r="P22" s="37"/>
      <c r="Q22" s="37"/>
      <c r="R22" s="37"/>
      <c r="S22" s="37"/>
      <c r="T22" s="37"/>
      <c r="U22" s="37"/>
      <c r="V22" s="37"/>
      <c r="W22" s="37"/>
    </row>
    <row r="23" spans="1:27">
      <c r="A23" t="s">
        <v>65</v>
      </c>
      <c r="D23" s="37">
        <v>0</v>
      </c>
      <c r="E23" s="37">
        <f>$B$3*$B$4*$B$5</f>
        <v>297.60000000000002</v>
      </c>
      <c r="F23" s="37">
        <f>$B$3*$B$4*$B$6</f>
        <v>372</v>
      </c>
      <c r="G23" s="37">
        <f t="shared" ref="G23:W23" si="0">$B$3*$B$4*$B$6</f>
        <v>372</v>
      </c>
      <c r="H23" s="37">
        <f t="shared" si="0"/>
        <v>372</v>
      </c>
      <c r="I23" s="37">
        <f t="shared" si="0"/>
        <v>372</v>
      </c>
      <c r="J23" s="37">
        <f t="shared" si="0"/>
        <v>372</v>
      </c>
      <c r="K23" s="37">
        <f t="shared" si="0"/>
        <v>372</v>
      </c>
      <c r="L23" s="37">
        <f t="shared" si="0"/>
        <v>372</v>
      </c>
      <c r="M23" s="37">
        <f t="shared" si="0"/>
        <v>372</v>
      </c>
      <c r="N23" s="37">
        <f t="shared" si="0"/>
        <v>372</v>
      </c>
      <c r="O23" s="37">
        <f t="shared" si="0"/>
        <v>372</v>
      </c>
      <c r="P23" s="37">
        <f t="shared" si="0"/>
        <v>372</v>
      </c>
      <c r="Q23" s="37">
        <f t="shared" si="0"/>
        <v>372</v>
      </c>
      <c r="R23" s="37">
        <f t="shared" si="0"/>
        <v>372</v>
      </c>
      <c r="S23" s="37">
        <f t="shared" si="0"/>
        <v>372</v>
      </c>
      <c r="T23" s="37">
        <f t="shared" si="0"/>
        <v>372</v>
      </c>
      <c r="U23" s="37">
        <f t="shared" si="0"/>
        <v>372</v>
      </c>
      <c r="V23" s="37">
        <f t="shared" si="0"/>
        <v>372</v>
      </c>
      <c r="W23" s="37">
        <f t="shared" si="0"/>
        <v>372</v>
      </c>
    </row>
    <row r="24" spans="1:27">
      <c r="A24" t="s">
        <v>110</v>
      </c>
      <c r="B24" s="147"/>
      <c r="C24" s="147"/>
      <c r="D24" s="37">
        <v>0</v>
      </c>
      <c r="E24" s="37">
        <f t="shared" ref="E24:W24" si="1">E23*2</f>
        <v>595.20000000000005</v>
      </c>
      <c r="F24" s="37">
        <f t="shared" si="1"/>
        <v>744</v>
      </c>
      <c r="G24" s="37">
        <f t="shared" si="1"/>
        <v>744</v>
      </c>
      <c r="H24" s="37">
        <f t="shared" si="1"/>
        <v>744</v>
      </c>
      <c r="I24" s="37">
        <f t="shared" si="1"/>
        <v>744</v>
      </c>
      <c r="J24" s="37">
        <f t="shared" si="1"/>
        <v>744</v>
      </c>
      <c r="K24" s="37">
        <f t="shared" si="1"/>
        <v>744</v>
      </c>
      <c r="L24" s="37">
        <f t="shared" si="1"/>
        <v>744</v>
      </c>
      <c r="M24" s="37">
        <f t="shared" si="1"/>
        <v>744</v>
      </c>
      <c r="N24" s="37">
        <f t="shared" si="1"/>
        <v>744</v>
      </c>
      <c r="O24" s="37">
        <f t="shared" si="1"/>
        <v>744</v>
      </c>
      <c r="P24" s="37">
        <f t="shared" si="1"/>
        <v>744</v>
      </c>
      <c r="Q24" s="37">
        <f t="shared" si="1"/>
        <v>744</v>
      </c>
      <c r="R24" s="37">
        <f t="shared" si="1"/>
        <v>744</v>
      </c>
      <c r="S24" s="37">
        <f t="shared" si="1"/>
        <v>744</v>
      </c>
      <c r="T24" s="37">
        <f t="shared" si="1"/>
        <v>744</v>
      </c>
      <c r="U24" s="37">
        <f t="shared" si="1"/>
        <v>744</v>
      </c>
      <c r="V24" s="37">
        <f t="shared" si="1"/>
        <v>744</v>
      </c>
      <c r="W24" s="37">
        <f t="shared" si="1"/>
        <v>744</v>
      </c>
    </row>
    <row r="25" spans="1:27">
      <c r="A25" t="s">
        <v>111</v>
      </c>
      <c r="B25" s="147"/>
      <c r="C25" s="147"/>
      <c r="D25" s="37">
        <v>0</v>
      </c>
      <c r="E25" s="37">
        <f t="shared" ref="E25:W25" si="2">E24*$B$7</f>
        <v>892.80000000000007</v>
      </c>
      <c r="F25" s="37">
        <f t="shared" si="2"/>
        <v>1116</v>
      </c>
      <c r="G25" s="37">
        <f t="shared" si="2"/>
        <v>1116</v>
      </c>
      <c r="H25" s="37">
        <f t="shared" si="2"/>
        <v>1116</v>
      </c>
      <c r="I25" s="37">
        <f t="shared" si="2"/>
        <v>1116</v>
      </c>
      <c r="J25" s="37">
        <f t="shared" si="2"/>
        <v>1116</v>
      </c>
      <c r="K25" s="37">
        <f t="shared" si="2"/>
        <v>1116</v>
      </c>
      <c r="L25" s="37">
        <f t="shared" si="2"/>
        <v>1116</v>
      </c>
      <c r="M25" s="37">
        <f t="shared" si="2"/>
        <v>1116</v>
      </c>
      <c r="N25" s="37">
        <f t="shared" si="2"/>
        <v>1116</v>
      </c>
      <c r="O25" s="37">
        <f t="shared" si="2"/>
        <v>1116</v>
      </c>
      <c r="P25" s="37">
        <f t="shared" si="2"/>
        <v>1116</v>
      </c>
      <c r="Q25" s="37">
        <f t="shared" si="2"/>
        <v>1116</v>
      </c>
      <c r="R25" s="37">
        <f t="shared" si="2"/>
        <v>1116</v>
      </c>
      <c r="S25" s="37">
        <f t="shared" si="2"/>
        <v>1116</v>
      </c>
      <c r="T25" s="37">
        <f t="shared" si="2"/>
        <v>1116</v>
      </c>
      <c r="U25" s="37">
        <f t="shared" si="2"/>
        <v>1116</v>
      </c>
      <c r="V25" s="37">
        <f t="shared" si="2"/>
        <v>1116</v>
      </c>
      <c r="W25" s="37">
        <f t="shared" si="2"/>
        <v>1116</v>
      </c>
    </row>
    <row r="27" spans="1:27" s="2" customFormat="1">
      <c r="A27" t="s">
        <v>388</v>
      </c>
      <c r="B27"/>
      <c r="C27"/>
      <c r="D27" s="210">
        <v>0</v>
      </c>
      <c r="E27" s="210">
        <f t="shared" ref="E27:W27" si="3">(($B$9/365)*E23)/E25</f>
        <v>9.1324200913242004E-2</v>
      </c>
      <c r="F27" s="210">
        <f t="shared" si="3"/>
        <v>9.1324200913242004E-2</v>
      </c>
      <c r="G27" s="210">
        <f t="shared" si="3"/>
        <v>9.1324200913242004E-2</v>
      </c>
      <c r="H27" s="210">
        <f t="shared" si="3"/>
        <v>9.1324200913242004E-2</v>
      </c>
      <c r="I27" s="210">
        <f t="shared" si="3"/>
        <v>9.1324200913242004E-2</v>
      </c>
      <c r="J27" s="210">
        <f t="shared" si="3"/>
        <v>9.1324200913242004E-2</v>
      </c>
      <c r="K27" s="210">
        <f t="shared" si="3"/>
        <v>9.1324200913242004E-2</v>
      </c>
      <c r="L27" s="210">
        <f t="shared" si="3"/>
        <v>9.1324200913242004E-2</v>
      </c>
      <c r="M27" s="210">
        <f t="shared" si="3"/>
        <v>9.1324200913242004E-2</v>
      </c>
      <c r="N27" s="210">
        <f t="shared" si="3"/>
        <v>9.1324200913242004E-2</v>
      </c>
      <c r="O27" s="210">
        <f t="shared" si="3"/>
        <v>9.1324200913242004E-2</v>
      </c>
      <c r="P27" s="210">
        <f t="shared" si="3"/>
        <v>9.1324200913242004E-2</v>
      </c>
      <c r="Q27" s="210">
        <f t="shared" si="3"/>
        <v>9.1324200913242004E-2</v>
      </c>
      <c r="R27" s="210">
        <f t="shared" si="3"/>
        <v>9.1324200913242004E-2</v>
      </c>
      <c r="S27" s="210">
        <f t="shared" si="3"/>
        <v>9.1324200913242004E-2</v>
      </c>
      <c r="T27" s="210">
        <f t="shared" si="3"/>
        <v>9.1324200913242004E-2</v>
      </c>
      <c r="U27" s="210">
        <f t="shared" si="3"/>
        <v>9.1324200913242004E-2</v>
      </c>
      <c r="V27" s="210">
        <f t="shared" si="3"/>
        <v>9.1324200913242004E-2</v>
      </c>
      <c r="W27" s="210">
        <f t="shared" si="3"/>
        <v>9.1324200913242004E-2</v>
      </c>
      <c r="Y27"/>
      <c r="Z27"/>
      <c r="AA27"/>
    </row>
    <row r="29" spans="1:27" s="2" customFormat="1">
      <c r="A29" t="s">
        <v>90</v>
      </c>
      <c r="B29"/>
      <c r="C29" s="38">
        <f>SUM(D29:W29)</f>
        <v>1100000</v>
      </c>
      <c r="D29" s="38">
        <v>0</v>
      </c>
      <c r="E29" s="38">
        <v>1100000</v>
      </c>
      <c r="F29" s="38">
        <v>0</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Y29"/>
      <c r="Z29"/>
      <c r="AA29"/>
    </row>
    <row r="30" spans="1:27" s="2" customFormat="1">
      <c r="A30" t="s">
        <v>91</v>
      </c>
      <c r="B30"/>
      <c r="C30" s="38">
        <f>SUM(D30:W30)</f>
        <v>5400000</v>
      </c>
      <c r="D30" s="38">
        <v>0</v>
      </c>
      <c r="E30" s="38">
        <v>0</v>
      </c>
      <c r="F30" s="38">
        <v>300000</v>
      </c>
      <c r="G30" s="38">
        <v>300000</v>
      </c>
      <c r="H30" s="38">
        <v>300000</v>
      </c>
      <c r="I30" s="38">
        <v>300000</v>
      </c>
      <c r="J30" s="38">
        <v>300000</v>
      </c>
      <c r="K30" s="38">
        <v>300000</v>
      </c>
      <c r="L30" s="38">
        <v>300000</v>
      </c>
      <c r="M30" s="38">
        <v>300000</v>
      </c>
      <c r="N30" s="38">
        <v>300000</v>
      </c>
      <c r="O30" s="38">
        <v>300000</v>
      </c>
      <c r="P30" s="38">
        <v>300000</v>
      </c>
      <c r="Q30" s="38">
        <v>300000</v>
      </c>
      <c r="R30" s="38">
        <v>300000</v>
      </c>
      <c r="S30" s="38">
        <v>300000</v>
      </c>
      <c r="T30" s="38">
        <v>300000</v>
      </c>
      <c r="U30" s="38">
        <v>300000</v>
      </c>
      <c r="V30" s="38">
        <v>300000</v>
      </c>
      <c r="W30" s="38">
        <v>300000</v>
      </c>
      <c r="Y30"/>
      <c r="Z30"/>
      <c r="AA30"/>
    </row>
    <row r="31" spans="1:27" s="2" customFormat="1">
      <c r="A31" t="s">
        <v>99</v>
      </c>
      <c r="B31"/>
      <c r="C31" s="38">
        <f>SUM(D31:W31)</f>
        <v>6500000</v>
      </c>
      <c r="D31" s="38">
        <f>D29+D30</f>
        <v>0</v>
      </c>
      <c r="E31" s="38">
        <f>E29+E30</f>
        <v>1100000</v>
      </c>
      <c r="F31" s="38">
        <f t="shared" ref="F31:W31" si="4">F29+F30</f>
        <v>300000</v>
      </c>
      <c r="G31" s="38">
        <f>G29+G30</f>
        <v>300000</v>
      </c>
      <c r="H31" s="38">
        <f t="shared" si="4"/>
        <v>300000</v>
      </c>
      <c r="I31" s="38">
        <f t="shared" si="4"/>
        <v>300000</v>
      </c>
      <c r="J31" s="38">
        <f t="shared" si="4"/>
        <v>300000</v>
      </c>
      <c r="K31" s="38">
        <f t="shared" si="4"/>
        <v>300000</v>
      </c>
      <c r="L31" s="38">
        <f t="shared" si="4"/>
        <v>300000</v>
      </c>
      <c r="M31" s="38">
        <f t="shared" si="4"/>
        <v>300000</v>
      </c>
      <c r="N31" s="38">
        <f t="shared" si="4"/>
        <v>300000</v>
      </c>
      <c r="O31" s="38">
        <f t="shared" si="4"/>
        <v>300000</v>
      </c>
      <c r="P31" s="38">
        <f t="shared" si="4"/>
        <v>300000</v>
      </c>
      <c r="Q31" s="38">
        <f t="shared" si="4"/>
        <v>300000</v>
      </c>
      <c r="R31" s="38">
        <f t="shared" si="4"/>
        <v>300000</v>
      </c>
      <c r="S31" s="38">
        <f t="shared" si="4"/>
        <v>300000</v>
      </c>
      <c r="T31" s="38">
        <f t="shared" si="4"/>
        <v>300000</v>
      </c>
      <c r="U31" s="38">
        <f t="shared" si="4"/>
        <v>300000</v>
      </c>
      <c r="V31" s="38">
        <f t="shared" si="4"/>
        <v>300000</v>
      </c>
      <c r="W31" s="38">
        <f t="shared" si="4"/>
        <v>300000</v>
      </c>
      <c r="Y31"/>
      <c r="Z31"/>
      <c r="AA31"/>
    </row>
    <row r="32" spans="1:27" s="2" customFormat="1">
      <c r="A32"/>
      <c r="B32"/>
      <c r="C32"/>
      <c r="D32"/>
      <c r="E32"/>
      <c r="F32"/>
      <c r="G32" s="38"/>
      <c r="H32" s="38"/>
      <c r="I32"/>
      <c r="J32"/>
      <c r="K32"/>
      <c r="L32"/>
      <c r="M32"/>
      <c r="N32"/>
      <c r="O32"/>
      <c r="P32"/>
      <c r="Q32"/>
      <c r="R32"/>
      <c r="S32"/>
      <c r="T32"/>
      <c r="U32"/>
      <c r="V32"/>
      <c r="W32"/>
      <c r="Y32"/>
      <c r="Z32"/>
      <c r="AA32"/>
    </row>
    <row r="33" spans="1:27" s="2" customFormat="1">
      <c r="A33" t="s">
        <v>404</v>
      </c>
      <c r="B33"/>
      <c r="C33" s="37">
        <f>SUM(D33:W33)*365</f>
        <v>612639.35999999987</v>
      </c>
      <c r="D33" s="81">
        <f>D24*$B$18*$B$19</f>
        <v>0</v>
      </c>
      <c r="E33" s="81">
        <f t="shared" ref="E33:W33" si="5">E24*$B$18*$B$19</f>
        <v>71.424000000000007</v>
      </c>
      <c r="F33" s="81">
        <f t="shared" si="5"/>
        <v>89.28</v>
      </c>
      <c r="G33" s="81">
        <f t="shared" si="5"/>
        <v>89.28</v>
      </c>
      <c r="H33" s="81">
        <f t="shared" si="5"/>
        <v>89.28</v>
      </c>
      <c r="I33" s="81">
        <f t="shared" si="5"/>
        <v>89.28</v>
      </c>
      <c r="J33" s="81">
        <f t="shared" si="5"/>
        <v>89.28</v>
      </c>
      <c r="K33" s="81">
        <f t="shared" si="5"/>
        <v>89.28</v>
      </c>
      <c r="L33" s="81">
        <f t="shared" si="5"/>
        <v>89.28</v>
      </c>
      <c r="M33" s="81">
        <f t="shared" si="5"/>
        <v>89.28</v>
      </c>
      <c r="N33" s="81">
        <f t="shared" si="5"/>
        <v>89.28</v>
      </c>
      <c r="O33" s="81">
        <f t="shared" si="5"/>
        <v>89.28</v>
      </c>
      <c r="P33" s="81">
        <f t="shared" si="5"/>
        <v>89.28</v>
      </c>
      <c r="Q33" s="81">
        <f t="shared" si="5"/>
        <v>89.28</v>
      </c>
      <c r="R33" s="81">
        <f t="shared" si="5"/>
        <v>89.28</v>
      </c>
      <c r="S33" s="81">
        <f t="shared" si="5"/>
        <v>89.28</v>
      </c>
      <c r="T33" s="81">
        <f t="shared" si="5"/>
        <v>89.28</v>
      </c>
      <c r="U33" s="81">
        <f t="shared" si="5"/>
        <v>89.28</v>
      </c>
      <c r="V33" s="81">
        <f t="shared" si="5"/>
        <v>89.28</v>
      </c>
      <c r="W33" s="81">
        <f t="shared" si="5"/>
        <v>89.28</v>
      </c>
      <c r="Y33"/>
      <c r="Z33"/>
      <c r="AA33"/>
    </row>
    <row r="34" spans="1:27" s="28" customFormat="1">
      <c r="A34" t="s">
        <v>389</v>
      </c>
      <c r="C34" s="37">
        <f>SUM(D34:W34)*365</f>
        <v>918959.04000000027</v>
      </c>
      <c r="D34" s="81">
        <f>D24*$B$18*$B$19*$B$7</f>
        <v>0</v>
      </c>
      <c r="E34" s="81">
        <f t="shared" ref="E34:W34" si="6">E24*$B$18*$B$19*$B$7</f>
        <v>107.13600000000001</v>
      </c>
      <c r="F34" s="81">
        <f t="shared" si="6"/>
        <v>133.92000000000002</v>
      </c>
      <c r="G34" s="81">
        <f t="shared" si="6"/>
        <v>133.92000000000002</v>
      </c>
      <c r="H34" s="81">
        <f t="shared" si="6"/>
        <v>133.92000000000002</v>
      </c>
      <c r="I34" s="81">
        <f t="shared" si="6"/>
        <v>133.92000000000002</v>
      </c>
      <c r="J34" s="81">
        <f t="shared" si="6"/>
        <v>133.92000000000002</v>
      </c>
      <c r="K34" s="81">
        <f t="shared" si="6"/>
        <v>133.92000000000002</v>
      </c>
      <c r="L34" s="81">
        <f t="shared" si="6"/>
        <v>133.92000000000002</v>
      </c>
      <c r="M34" s="81">
        <f t="shared" si="6"/>
        <v>133.92000000000002</v>
      </c>
      <c r="N34" s="81">
        <f t="shared" si="6"/>
        <v>133.92000000000002</v>
      </c>
      <c r="O34" s="81">
        <f t="shared" si="6"/>
        <v>133.92000000000002</v>
      </c>
      <c r="P34" s="81">
        <f t="shared" si="6"/>
        <v>133.92000000000002</v>
      </c>
      <c r="Q34" s="81">
        <f t="shared" si="6"/>
        <v>133.92000000000002</v>
      </c>
      <c r="R34" s="81">
        <f t="shared" si="6"/>
        <v>133.92000000000002</v>
      </c>
      <c r="S34" s="81">
        <f t="shared" si="6"/>
        <v>133.92000000000002</v>
      </c>
      <c r="T34" s="81">
        <f t="shared" si="6"/>
        <v>133.92000000000002</v>
      </c>
      <c r="U34" s="81">
        <f t="shared" si="6"/>
        <v>133.92000000000002</v>
      </c>
      <c r="V34" s="81">
        <f t="shared" si="6"/>
        <v>133.92000000000002</v>
      </c>
      <c r="W34" s="81">
        <f t="shared" si="6"/>
        <v>133.92000000000002</v>
      </c>
      <c r="X34" s="80"/>
    </row>
    <row r="35" spans="1:27" s="28" customFormat="1">
      <c r="A35" t="s">
        <v>405</v>
      </c>
      <c r="C35" s="37">
        <f>SUM(D35:W35)*365</f>
        <v>918959.04000000015</v>
      </c>
      <c r="D35" s="81">
        <f>D24*$B$16*$B$17</f>
        <v>0</v>
      </c>
      <c r="E35" s="81">
        <f t="shared" ref="E35:W35" si="7">E24*$B$16*$B$17</f>
        <v>107.136</v>
      </c>
      <c r="F35" s="81">
        <f t="shared" si="7"/>
        <v>133.91999999999999</v>
      </c>
      <c r="G35" s="81">
        <f t="shared" si="7"/>
        <v>133.91999999999999</v>
      </c>
      <c r="H35" s="81">
        <f t="shared" si="7"/>
        <v>133.91999999999999</v>
      </c>
      <c r="I35" s="81">
        <f t="shared" si="7"/>
        <v>133.91999999999999</v>
      </c>
      <c r="J35" s="81">
        <f t="shared" si="7"/>
        <v>133.91999999999999</v>
      </c>
      <c r="K35" s="81">
        <f t="shared" si="7"/>
        <v>133.91999999999999</v>
      </c>
      <c r="L35" s="81">
        <f t="shared" si="7"/>
        <v>133.91999999999999</v>
      </c>
      <c r="M35" s="81">
        <f t="shared" si="7"/>
        <v>133.91999999999999</v>
      </c>
      <c r="N35" s="81">
        <f t="shared" si="7"/>
        <v>133.91999999999999</v>
      </c>
      <c r="O35" s="81">
        <f t="shared" si="7"/>
        <v>133.91999999999999</v>
      </c>
      <c r="P35" s="81">
        <f t="shared" si="7"/>
        <v>133.91999999999999</v>
      </c>
      <c r="Q35" s="81">
        <f t="shared" si="7"/>
        <v>133.91999999999999</v>
      </c>
      <c r="R35" s="81">
        <f t="shared" si="7"/>
        <v>133.91999999999999</v>
      </c>
      <c r="S35" s="81">
        <f t="shared" si="7"/>
        <v>133.91999999999999</v>
      </c>
      <c r="T35" s="81">
        <f t="shared" si="7"/>
        <v>133.91999999999999</v>
      </c>
      <c r="U35" s="81">
        <f t="shared" si="7"/>
        <v>133.91999999999999</v>
      </c>
      <c r="V35" s="81">
        <f t="shared" si="7"/>
        <v>133.91999999999999</v>
      </c>
      <c r="W35" s="81">
        <f t="shared" si="7"/>
        <v>133.91999999999999</v>
      </c>
      <c r="X35" s="80"/>
    </row>
    <row r="36" spans="1:27" s="28" customFormat="1">
      <c r="A36" t="s">
        <v>390</v>
      </c>
      <c r="C36" s="37">
        <f>SUM(D36:W36)*365</f>
        <v>5973233.7599999979</v>
      </c>
      <c r="D36" s="81">
        <f>D24*$B$16*$B$17*$B$21</f>
        <v>0</v>
      </c>
      <c r="E36" s="81">
        <f t="shared" ref="E36:W36" si="8">E24*$B$16*$B$17*$B$21</f>
        <v>696.38400000000001</v>
      </c>
      <c r="F36" s="81">
        <f t="shared" si="8"/>
        <v>870.4799999999999</v>
      </c>
      <c r="G36" s="81">
        <f t="shared" si="8"/>
        <v>870.4799999999999</v>
      </c>
      <c r="H36" s="81">
        <f t="shared" si="8"/>
        <v>870.4799999999999</v>
      </c>
      <c r="I36" s="81">
        <f t="shared" si="8"/>
        <v>870.4799999999999</v>
      </c>
      <c r="J36" s="81">
        <f t="shared" si="8"/>
        <v>870.4799999999999</v>
      </c>
      <c r="K36" s="81">
        <f t="shared" si="8"/>
        <v>870.4799999999999</v>
      </c>
      <c r="L36" s="81">
        <f t="shared" si="8"/>
        <v>870.4799999999999</v>
      </c>
      <c r="M36" s="81">
        <f t="shared" si="8"/>
        <v>870.4799999999999</v>
      </c>
      <c r="N36" s="81">
        <f t="shared" si="8"/>
        <v>870.4799999999999</v>
      </c>
      <c r="O36" s="81">
        <f t="shared" si="8"/>
        <v>870.4799999999999</v>
      </c>
      <c r="P36" s="81">
        <f t="shared" si="8"/>
        <v>870.4799999999999</v>
      </c>
      <c r="Q36" s="81">
        <f t="shared" si="8"/>
        <v>870.4799999999999</v>
      </c>
      <c r="R36" s="81">
        <f t="shared" si="8"/>
        <v>870.4799999999999</v>
      </c>
      <c r="S36" s="81">
        <f t="shared" si="8"/>
        <v>870.4799999999999</v>
      </c>
      <c r="T36" s="81">
        <f t="shared" si="8"/>
        <v>870.4799999999999</v>
      </c>
      <c r="U36" s="81">
        <f t="shared" si="8"/>
        <v>870.4799999999999</v>
      </c>
      <c r="V36" s="81">
        <f t="shared" si="8"/>
        <v>870.4799999999999</v>
      </c>
      <c r="W36" s="81">
        <f t="shared" si="8"/>
        <v>870.4799999999999</v>
      </c>
      <c r="X36" s="80"/>
    </row>
    <row r="37" spans="1:27" s="28" customFormat="1">
      <c r="X37" s="80"/>
    </row>
    <row r="38" spans="1:27">
      <c r="A38" t="s">
        <v>403</v>
      </c>
      <c r="C38" s="210">
        <f>SUM(D38:W38)*365</f>
        <v>891311.7593890375</v>
      </c>
      <c r="D38" s="116">
        <f>(('Auto Operating Assumptions'!D21-'Bike Operating Assumptions'!D21)*1.5*D33)+(('Auto Operating Assumptions'!D32-'Other Mode Assumptions'!C33)*6.5*D35)</f>
        <v>0</v>
      </c>
      <c r="E38" s="116">
        <f>(('Auto Operating Assumptions'!E21-'Bike Operating Assumptions'!E21)*1.5*E33)+(('Auto Operating Assumptions'!E32-'Other Mode Assumptions'!D33)*6.5*E35)</f>
        <v>102.26003835475014</v>
      </c>
      <c r="F38" s="116">
        <f>(('Auto Operating Assumptions'!F21-'Bike Operating Assumptions'!F21)*1.5*F33)+(('Auto Operating Assumptions'!F32-'Other Mode Assumptions'!E33)*6.5*F35)</f>
        <v>128.12911865180189</v>
      </c>
      <c r="G38" s="116">
        <f>(('Auto Operating Assumptions'!G21-'Bike Operating Assumptions'!G21)*1.5*G33)+(('Auto Operating Assumptions'!G32-'Other Mode Assumptions'!F33)*6.5*G35)</f>
        <v>128.41609676468948</v>
      </c>
      <c r="H38" s="116">
        <f>(('Auto Operating Assumptions'!H21-'Bike Operating Assumptions'!H21)*1.5*H33)+(('Auto Operating Assumptions'!H32-'Other Mode Assumptions'!G33)*6.5*H35)</f>
        <v>128.68705071826798</v>
      </c>
      <c r="I38" s="116">
        <f>(('Auto Operating Assumptions'!I21-'Bike Operating Assumptions'!I21)*1.5*I33)+(('Auto Operating Assumptions'!I32-'Other Mode Assumptions'!H33)*6.5*I35)</f>
        <v>128.94297366054514</v>
      </c>
      <c r="J38" s="116">
        <f>(('Auto Operating Assumptions'!J21-'Bike Operating Assumptions'!J21)*1.5*J33)+(('Auto Operating Assumptions'!J32-'Other Mode Assumptions'!I33)*6.5*J35)</f>
        <v>129.18478950013304</v>
      </c>
      <c r="K38" s="116">
        <f>(('Auto Operating Assumptions'!K21-'Bike Operating Assumptions'!K21)*1.5*K33)+(('Auto Operating Assumptions'!K32-'Other Mode Assumptions'!J33)*6.5*K35)</f>
        <v>129.41335839955198</v>
      </c>
      <c r="L38" s="116">
        <f>(('Auto Operating Assumptions'!L21-'Bike Operating Assumptions'!L21)*1.5*L33)+(('Auto Operating Assumptions'!L32-'Other Mode Assumptions'!K33)*6.5*L35)</f>
        <v>129.62948177098605</v>
      </c>
      <c r="M38" s="116">
        <f>(('Auto Operating Assumptions'!M21-'Bike Operating Assumptions'!M21)*1.5*M33)+(('Auto Operating Assumptions'!M32-'Other Mode Assumptions'!L33)*6.5*M35)</f>
        <v>129.8339068256285</v>
      </c>
      <c r="N38" s="116">
        <f>(('Auto Operating Assumptions'!N21-'Bike Operating Assumptions'!N21)*1.5*N33)+(('Auto Operating Assumptions'!N32-'Other Mode Assumptions'!M33)*6.5*N35)</f>
        <v>130.02733072185777</v>
      </c>
      <c r="O38" s="116">
        <f>(('Auto Operating Assumptions'!O21-'Bike Operating Assumptions'!O21)*1.5*O33)+(('Auto Operating Assumptions'!O32-'Other Mode Assumptions'!N33)*6.5*O35)</f>
        <v>130.21040435234252</v>
      </c>
      <c r="P38" s="116">
        <f>(('Auto Operating Assumptions'!P21-'Bike Operating Assumptions'!P21)*1.5*P33)+(('Auto Operating Assumptions'!P32-'Other Mode Assumptions'!O33)*6.5*P35)</f>
        <v>130.38373580567779</v>
      </c>
      <c r="Q38" s="116">
        <f>(('Auto Operating Assumptions'!Q21-'Bike Operating Assumptions'!Q21)*1.5*Q33)+(('Auto Operating Assumptions'!Q32-'Other Mode Assumptions'!P33)*6.5*Q35)</f>
        <v>130.54789353421782</v>
      </c>
      <c r="R38" s="116">
        <f>(('Auto Operating Assumptions'!R21-'Bike Operating Assumptions'!R21)*1.5*R33)+(('Auto Operating Assumptions'!R32-'Other Mode Assumptions'!Q33)*6.5*R35)</f>
        <v>130.70340925631677</v>
      </c>
      <c r="S38" s="116">
        <f>(('Auto Operating Assumptions'!S21-'Bike Operating Assumptions'!S21)*1.5*S33)+(('Auto Operating Assumptions'!S32-'Other Mode Assumptions'!R33)*6.5*S35)</f>
        <v>130.85078061815128</v>
      </c>
      <c r="T38" s="116">
        <f>(('Auto Operating Assumptions'!T21-'Bike Operating Assumptions'!T21)*1.5*T33)+(('Auto Operating Assumptions'!T32-'Other Mode Assumptions'!S33)*6.5*T35)</f>
        <v>130.99047363762449</v>
      </c>
      <c r="U38" s="116">
        <f>(('Auto Operating Assumptions'!U21-'Bike Operating Assumptions'!U21)*1.5*U33)+(('Auto Operating Assumptions'!U32-'Other Mode Assumptions'!T33)*6.5*U35)</f>
        <v>131.12292495049201</v>
      </c>
      <c r="V38" s="116">
        <f>(('Auto Operating Assumptions'!V21-'Bike Operating Assumptions'!V21)*1.5*V33)+(('Auto Operating Assumptions'!V32-'Other Mode Assumptions'!U33)*6.5*V35)</f>
        <v>131.24854387676382</v>
      </c>
      <c r="W38" s="116">
        <f>(('Auto Operating Assumptions'!W21-'Bike Operating Assumptions'!W21)*1.5*W33)+(('Auto Operating Assumptions'!W32-'Other Mode Assumptions'!V33)*6.5*W35)</f>
        <v>131.36771432359211</v>
      </c>
    </row>
    <row r="39" spans="1:27">
      <c r="A39" t="s">
        <v>420</v>
      </c>
      <c r="C39" s="37">
        <f>SUM(D39:W39)*365</f>
        <v>122864.8399354275</v>
      </c>
      <c r="D39" s="237">
        <f>(('Auto Operating Assumptions'!D18-'Bike Operating Assumptions'!D32)*1.5*D33)+(('Auto Operating Assumptions'!D29-'Other Mode Assumptions'!C30)*6.5*D35)</f>
        <v>0</v>
      </c>
      <c r="E39" s="237">
        <f>(('Auto Operating Assumptions'!E18-'Bike Operating Assumptions'!E32)*1.5*E33)+(('Auto Operating Assumptions'!E29-'Other Mode Assumptions'!D30)*6.5*E35)</f>
        <v>7.8337628439668467</v>
      </c>
      <c r="F39" s="237">
        <f>(('Auto Operating Assumptions'!F18-'Bike Operating Assumptions'!F32)*1.5*F33)+(('Auto Operating Assumptions'!F29-'Other Mode Assumptions'!E30)*6.5*F35)</f>
        <v>10.652701095094999</v>
      </c>
      <c r="G39" s="237">
        <f>(('Auto Operating Assumptions'!G18-'Bike Operating Assumptions'!G32)*1.5*G33)+(('Auto Operating Assumptions'!G29-'Other Mode Assumptions'!F30)*6.5*G35)</f>
        <v>11.518540788059354</v>
      </c>
      <c r="H39" s="237">
        <f>(('Auto Operating Assumptions'!H18-'Bike Operating Assumptions'!H32)*1.5*H33)+(('Auto Operating Assumptions'!H29-'Other Mode Assumptions'!G30)*6.5*H35)</f>
        <v>12.3897725365967</v>
      </c>
      <c r="I39" s="237">
        <f>(('Auto Operating Assumptions'!I18-'Bike Operating Assumptions'!I32)*1.5*I33)+(('Auto Operating Assumptions'!I29-'Other Mode Assumptions'!H30)*6.5*I35)</f>
        <v>13.266446866936526</v>
      </c>
      <c r="J39" s="237">
        <f>(('Auto Operating Assumptions'!J18-'Bike Operating Assumptions'!J32)*1.5*J33)+(('Auto Operating Assumptions'!J29-'Other Mode Assumptions'!I30)*6.5*J35)</f>
        <v>14.148614938560687</v>
      </c>
      <c r="K39" s="237">
        <f>(('Auto Operating Assumptions'!K18-'Bike Operating Assumptions'!K32)*1.5*K33)+(('Auto Operating Assumptions'!K29-'Other Mode Assumptions'!J30)*6.5*K35)</f>
        <v>15.0363285541554</v>
      </c>
      <c r="L39" s="237">
        <f>(('Auto Operating Assumptions'!L18-'Bike Operating Assumptions'!L32)*1.5*L33)+(('Auto Operating Assumptions'!L29-'Other Mode Assumptions'!K30)*6.5*L35)</f>
        <v>15.929640169751407</v>
      </c>
      <c r="M39" s="237">
        <f>(('Auto Operating Assumptions'!M18-'Bike Operating Assumptions'!M32)*1.5*M33)+(('Auto Operating Assumptions'!M29-'Other Mode Assumptions'!L30)*6.5*M35)</f>
        <v>16.828602905056847</v>
      </c>
      <c r="N39" s="237">
        <f>(('Auto Operating Assumptions'!N18-'Bike Operating Assumptions'!N32)*1.5*N33)+(('Auto Operating Assumptions'!N29-'Other Mode Assumptions'!M30)*6.5*N35)</f>
        <v>17.733270553986351</v>
      </c>
      <c r="O39" s="237">
        <f>(('Auto Operating Assumptions'!O18-'Bike Operating Assumptions'!O32)*1.5*O33)+(('Auto Operating Assumptions'!O29-'Other Mode Assumptions'!N30)*6.5*O35)</f>
        <v>18.643697595391895</v>
      </c>
      <c r="P39" s="237">
        <f>(('Auto Operating Assumptions'!P18-'Bike Operating Assumptions'!P32)*1.5*P33)+(('Auto Operating Assumptions'!P29-'Other Mode Assumptions'!O30)*6.5*P35)</f>
        <v>19.559939203998731</v>
      </c>
      <c r="Q39" s="237">
        <f>(('Auto Operating Assumptions'!Q18-'Bike Operating Assumptions'!Q32)*1.5*Q33)+(('Auto Operating Assumptions'!Q29-'Other Mode Assumptions'!P30)*6.5*Q35)</f>
        <v>20.482051261551845</v>
      </c>
      <c r="R39" s="237">
        <f>(('Auto Operating Assumptions'!R18-'Bike Operating Assumptions'!R32)*1.5*R33)+(('Auto Operating Assumptions'!R29-'Other Mode Assumptions'!Q30)*6.5*R35)</f>
        <v>21.410090368177038</v>
      </c>
      <c r="S39" s="237">
        <f>(('Auto Operating Assumptions'!S18-'Bike Operating Assumptions'!S32)*1.5*S33)+(('Auto Operating Assumptions'!S29-'Other Mode Assumptions'!R30)*6.5*S35)</f>
        <v>22.344113853961925</v>
      </c>
      <c r="T39" s="237">
        <f>(('Auto Operating Assumptions'!T18-'Bike Operating Assumptions'!T32)*1.5*T33)+(('Auto Operating Assumptions'!T29-'Other Mode Assumptions'!S30)*6.5*T35)</f>
        <v>23.284179790762074</v>
      </c>
      <c r="U39" s="237">
        <f>(('Auto Operating Assumptions'!U18-'Bike Operating Assumptions'!U32)*1.5*U33)+(('Auto Operating Assumptions'!U29-'Other Mode Assumptions'!T30)*6.5*U35)</f>
        <v>24.230347004236499</v>
      </c>
      <c r="V39" s="237">
        <f>(('Auto Operating Assumptions'!V18-'Bike Operating Assumptions'!V32)*1.5*V33)+(('Auto Operating Assumptions'!V29-'Other Mode Assumptions'!U30)*6.5*V35)</f>
        <v>25.182675086118184</v>
      </c>
      <c r="W39" s="237">
        <f>(('Auto Operating Assumptions'!W18-'Bike Operating Assumptions'!W32)*1.5*W33)+(('Auto Operating Assumptions'!W29-'Other Mode Assumptions'!V30)*6.5*W35)</f>
        <v>26.141224406725701</v>
      </c>
    </row>
    <row r="40" spans="1:27">
      <c r="A40" t="s">
        <v>419</v>
      </c>
      <c r="C40" s="210">
        <f>SUM(D40:W40)*365</f>
        <v>1709049.9235017963</v>
      </c>
      <c r="D40" s="128">
        <f>D39*$B$13</f>
        <v>0</v>
      </c>
      <c r="E40" s="128">
        <f t="shared" ref="E40:W40" si="9">E39*$B$13</f>
        <v>108.96764115957883</v>
      </c>
      <c r="F40" s="128">
        <f t="shared" si="9"/>
        <v>148.17907223277143</v>
      </c>
      <c r="G40" s="128">
        <f t="shared" si="9"/>
        <v>160.22290236190562</v>
      </c>
      <c r="H40" s="128">
        <f t="shared" si="9"/>
        <v>172.34173598406011</v>
      </c>
      <c r="I40" s="128">
        <f t="shared" si="9"/>
        <v>184.53627591908707</v>
      </c>
      <c r="J40" s="128">
        <f t="shared" si="9"/>
        <v>196.80723379537915</v>
      </c>
      <c r="K40" s="128">
        <f t="shared" si="9"/>
        <v>209.1553301883016</v>
      </c>
      <c r="L40" s="128">
        <f t="shared" si="9"/>
        <v>221.58129476124208</v>
      </c>
      <c r="M40" s="128">
        <f t="shared" si="9"/>
        <v>234.08586640934075</v>
      </c>
      <c r="N40" s="128">
        <f t="shared" si="9"/>
        <v>246.66979340595014</v>
      </c>
      <c r="O40" s="128">
        <f t="shared" si="9"/>
        <v>259.33383355190125</v>
      </c>
      <c r="P40" s="128">
        <f t="shared" si="9"/>
        <v>272.07875432762233</v>
      </c>
      <c r="Q40" s="128">
        <f t="shared" si="9"/>
        <v>284.90533304818615</v>
      </c>
      <c r="R40" s="128">
        <f t="shared" si="9"/>
        <v>297.81435702134257</v>
      </c>
      <c r="S40" s="128">
        <f t="shared" si="9"/>
        <v>310.8066237086104</v>
      </c>
      <c r="T40" s="128">
        <f t="shared" si="9"/>
        <v>323.88294088950045</v>
      </c>
      <c r="U40" s="128">
        <f t="shared" si="9"/>
        <v>337.04412682892973</v>
      </c>
      <c r="V40" s="128">
        <f t="shared" si="9"/>
        <v>350.29101044790394</v>
      </c>
      <c r="W40" s="128">
        <f t="shared" si="9"/>
        <v>363.6244314975545</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M46"/>
  <sheetViews>
    <sheetView workbookViewId="0">
      <pane xSplit="1" ySplit="2" topLeftCell="B9" activePane="bottomRight" state="frozen"/>
      <selection pane="topRight" activeCell="B1" sqref="B1"/>
      <selection pane="bottomLeft" activeCell="A2" sqref="A2"/>
      <selection pane="bottomRight" activeCell="O42" sqref="O42"/>
    </sheetView>
  </sheetViews>
  <sheetFormatPr defaultRowHeight="13.2"/>
  <cols>
    <col min="1" max="1" width="38.6640625" bestFit="1" customWidth="1"/>
    <col min="2" max="2" width="12.5546875" bestFit="1" customWidth="1"/>
    <col min="13" max="13" width="13.109375" bestFit="1" customWidth="1"/>
    <col min="14" max="14" width="9.109375" style="153"/>
    <col min="15" max="15" width="13.6640625" style="153" bestFit="1" customWidth="1"/>
    <col min="39" max="39" width="41" style="2" customWidth="1"/>
  </cols>
  <sheetData>
    <row r="1" spans="1:39">
      <c r="K1">
        <v>1</v>
      </c>
      <c r="L1">
        <v>2</v>
      </c>
      <c r="M1">
        <v>3</v>
      </c>
      <c r="N1">
        <v>4</v>
      </c>
      <c r="O1">
        <v>5</v>
      </c>
      <c r="P1">
        <v>6</v>
      </c>
      <c r="Q1">
        <v>7</v>
      </c>
      <c r="R1">
        <v>8</v>
      </c>
      <c r="S1">
        <v>9</v>
      </c>
      <c r="T1">
        <v>10</v>
      </c>
      <c r="U1">
        <v>11</v>
      </c>
      <c r="V1">
        <v>12</v>
      </c>
    </row>
    <row r="2" spans="1:39" s="104" customFormat="1">
      <c r="B2" s="104">
        <v>1994</v>
      </c>
      <c r="C2" s="104">
        <v>1995</v>
      </c>
      <c r="D2" s="104">
        <v>1996</v>
      </c>
      <c r="E2" s="104">
        <v>1997</v>
      </c>
      <c r="F2" s="104">
        <v>1998</v>
      </c>
      <c r="G2" s="104">
        <v>1999</v>
      </c>
      <c r="H2" s="104">
        <v>2000</v>
      </c>
      <c r="I2" s="104">
        <v>2001</v>
      </c>
      <c r="J2" s="104">
        <v>2002</v>
      </c>
      <c r="K2" s="104">
        <v>2003</v>
      </c>
      <c r="L2" s="104">
        <v>2004</v>
      </c>
      <c r="M2" s="104">
        <v>2005</v>
      </c>
      <c r="N2" s="104">
        <v>2006</v>
      </c>
      <c r="O2" s="104">
        <v>2007</v>
      </c>
      <c r="P2" s="104">
        <v>2008</v>
      </c>
      <c r="Q2" s="104">
        <v>2009</v>
      </c>
      <c r="R2" s="104">
        <v>2010</v>
      </c>
      <c r="S2" s="104">
        <v>2011</v>
      </c>
      <c r="T2" s="104">
        <v>2012</v>
      </c>
      <c r="U2" s="104">
        <v>2013</v>
      </c>
      <c r="V2" s="104">
        <v>2014</v>
      </c>
      <c r="W2" s="104">
        <v>2015</v>
      </c>
      <c r="X2" s="104">
        <v>2016</v>
      </c>
      <c r="Y2" s="104">
        <v>2017</v>
      </c>
      <c r="Z2" s="104">
        <v>2018</v>
      </c>
      <c r="AA2" s="104">
        <v>2019</v>
      </c>
      <c r="AB2" s="104">
        <v>2020</v>
      </c>
      <c r="AC2" s="104">
        <v>2021</v>
      </c>
      <c r="AD2" s="104">
        <v>2022</v>
      </c>
      <c r="AE2" s="104">
        <v>2023</v>
      </c>
      <c r="AF2" s="104">
        <v>2024</v>
      </c>
      <c r="AG2" s="104">
        <v>2025</v>
      </c>
      <c r="AH2" s="104">
        <v>2026</v>
      </c>
      <c r="AI2" s="104">
        <v>2027</v>
      </c>
      <c r="AJ2" s="104">
        <v>2028</v>
      </c>
      <c r="AK2" s="104">
        <v>2029</v>
      </c>
      <c r="AL2" s="104">
        <v>2030</v>
      </c>
      <c r="AM2" s="97" t="s">
        <v>54</v>
      </c>
    </row>
    <row r="3" spans="1:39" s="195" customFormat="1">
      <c r="A3" s="105" t="s">
        <v>245</v>
      </c>
      <c r="B3" s="195">
        <f>SUM(B4:B8)</f>
        <v>326</v>
      </c>
      <c r="C3" s="195">
        <f t="shared" ref="C3:O3" si="0">SUM(C4:C8)</f>
        <v>277</v>
      </c>
      <c r="D3" s="195">
        <f t="shared" si="0"/>
        <v>321</v>
      </c>
      <c r="E3" s="195">
        <f t="shared" si="0"/>
        <v>341</v>
      </c>
      <c r="F3" s="195">
        <f t="shared" si="0"/>
        <v>328</v>
      </c>
      <c r="G3" s="195">
        <f t="shared" si="0"/>
        <v>332</v>
      </c>
      <c r="H3" s="195">
        <f t="shared" si="0"/>
        <v>366</v>
      </c>
      <c r="I3" s="195">
        <f t="shared" si="0"/>
        <v>357</v>
      </c>
      <c r="J3" s="195">
        <f t="shared" si="0"/>
        <v>309</v>
      </c>
      <c r="K3" s="195">
        <f t="shared" si="0"/>
        <v>430</v>
      </c>
      <c r="L3" s="195">
        <f t="shared" si="0"/>
        <v>516</v>
      </c>
      <c r="M3" s="195">
        <f t="shared" si="0"/>
        <v>446</v>
      </c>
      <c r="N3" s="195">
        <f t="shared" si="0"/>
        <v>520</v>
      </c>
      <c r="O3" s="195">
        <f t="shared" si="0"/>
        <v>498</v>
      </c>
      <c r="AM3" s="201" t="s">
        <v>324</v>
      </c>
    </row>
    <row r="4" spans="1:39" s="198" customFormat="1" ht="11.4">
      <c r="A4" s="196" t="s">
        <v>248</v>
      </c>
      <c r="B4" s="197">
        <v>237</v>
      </c>
      <c r="C4" s="197">
        <v>190</v>
      </c>
      <c r="D4" s="197">
        <v>253</v>
      </c>
      <c r="E4" s="197">
        <v>259</v>
      </c>
      <c r="F4" s="197">
        <v>253</v>
      </c>
      <c r="G4" s="197">
        <v>262</v>
      </c>
      <c r="H4" s="197">
        <v>314</v>
      </c>
      <c r="I4" s="197">
        <v>300</v>
      </c>
      <c r="J4" s="197">
        <v>239</v>
      </c>
      <c r="K4" s="197">
        <v>229</v>
      </c>
      <c r="L4" s="197">
        <v>284</v>
      </c>
      <c r="M4" s="197">
        <v>216</v>
      </c>
      <c r="N4" s="197">
        <v>250</v>
      </c>
      <c r="O4" s="197">
        <v>250</v>
      </c>
      <c r="AM4" s="165"/>
    </row>
    <row r="5" spans="1:39" s="198" customFormat="1" ht="11.4">
      <c r="A5" s="196" t="s">
        <v>249</v>
      </c>
      <c r="B5" s="197">
        <v>57</v>
      </c>
      <c r="C5" s="197">
        <v>63</v>
      </c>
      <c r="D5" s="197">
        <v>45</v>
      </c>
      <c r="E5" s="197">
        <v>55</v>
      </c>
      <c r="F5" s="197">
        <v>54</v>
      </c>
      <c r="G5" s="197">
        <v>46</v>
      </c>
      <c r="H5" s="197">
        <v>41</v>
      </c>
      <c r="I5" s="197">
        <v>30</v>
      </c>
      <c r="J5" s="197">
        <v>45</v>
      </c>
      <c r="K5" s="197">
        <v>28</v>
      </c>
      <c r="L5" s="197">
        <v>51</v>
      </c>
      <c r="M5" s="197">
        <v>45</v>
      </c>
      <c r="N5" s="197">
        <v>50</v>
      </c>
      <c r="O5" s="197">
        <v>43</v>
      </c>
      <c r="AM5" s="165"/>
    </row>
    <row r="6" spans="1:39" s="198" customFormat="1" ht="11.4">
      <c r="A6" s="196" t="s">
        <v>250</v>
      </c>
      <c r="B6" s="197">
        <v>32</v>
      </c>
      <c r="C6" s="197">
        <v>24</v>
      </c>
      <c r="D6" s="197">
        <v>23</v>
      </c>
      <c r="E6" s="197">
        <v>27</v>
      </c>
      <c r="F6" s="197">
        <v>21</v>
      </c>
      <c r="G6" s="197">
        <v>24</v>
      </c>
      <c r="H6" s="197">
        <v>11</v>
      </c>
      <c r="I6" s="197">
        <v>27</v>
      </c>
      <c r="J6" s="197">
        <v>25</v>
      </c>
      <c r="K6" s="197">
        <v>12</v>
      </c>
      <c r="L6" s="197">
        <v>17</v>
      </c>
      <c r="M6" s="197">
        <v>30</v>
      </c>
      <c r="N6" s="197">
        <v>26</v>
      </c>
      <c r="O6" s="197">
        <v>20</v>
      </c>
      <c r="AM6" s="165"/>
    </row>
    <row r="7" spans="1:39" s="198" customFormat="1" ht="11.4">
      <c r="A7" s="196" t="s">
        <v>251</v>
      </c>
      <c r="B7" s="197"/>
      <c r="C7" s="197"/>
      <c r="D7" s="197"/>
      <c r="E7" s="197"/>
      <c r="F7" s="197"/>
      <c r="G7" s="197"/>
      <c r="H7" s="197"/>
      <c r="I7" s="197"/>
      <c r="J7" s="197"/>
      <c r="K7" s="197">
        <v>96</v>
      </c>
      <c r="L7" s="197">
        <v>82</v>
      </c>
      <c r="M7" s="197">
        <v>86</v>
      </c>
      <c r="N7" s="197">
        <v>113</v>
      </c>
      <c r="O7" s="197">
        <v>115</v>
      </c>
      <c r="AM7" s="165"/>
    </row>
    <row r="8" spans="1:39" s="198" customFormat="1" ht="11.4">
      <c r="A8" s="196" t="s">
        <v>252</v>
      </c>
      <c r="B8" s="197"/>
      <c r="C8" s="197"/>
      <c r="D8" s="197"/>
      <c r="E8" s="197"/>
      <c r="F8" s="197"/>
      <c r="G8" s="197"/>
      <c r="H8" s="197"/>
      <c r="I8" s="197"/>
      <c r="J8" s="197"/>
      <c r="K8" s="197">
        <v>65</v>
      </c>
      <c r="L8" s="197">
        <v>82</v>
      </c>
      <c r="M8" s="197">
        <v>69</v>
      </c>
      <c r="N8" s="197">
        <v>81</v>
      </c>
      <c r="O8" s="197">
        <v>70</v>
      </c>
      <c r="AM8" s="165"/>
    </row>
    <row r="9" spans="1:39" s="39" customFormat="1">
      <c r="A9" s="105" t="s">
        <v>246</v>
      </c>
      <c r="B9" s="195">
        <f t="shared" ref="B9:O9" si="1">SUM(B10:B14)</f>
        <v>2</v>
      </c>
      <c r="C9" s="195">
        <f t="shared" si="1"/>
        <v>2</v>
      </c>
      <c r="D9" s="195">
        <f t="shared" si="1"/>
        <v>1</v>
      </c>
      <c r="E9" s="195">
        <f t="shared" si="1"/>
        <v>0</v>
      </c>
      <c r="F9" s="195">
        <f t="shared" si="1"/>
        <v>0</v>
      </c>
      <c r="G9" s="195">
        <f t="shared" si="1"/>
        <v>2</v>
      </c>
      <c r="H9" s="195">
        <f t="shared" si="1"/>
        <v>1</v>
      </c>
      <c r="I9" s="195">
        <f t="shared" si="1"/>
        <v>2</v>
      </c>
      <c r="J9" s="195">
        <f t="shared" si="1"/>
        <v>2</v>
      </c>
      <c r="K9" s="195">
        <f t="shared" si="1"/>
        <v>0</v>
      </c>
      <c r="L9" s="195">
        <f t="shared" si="1"/>
        <v>7</v>
      </c>
      <c r="M9" s="195">
        <f t="shared" si="1"/>
        <v>5</v>
      </c>
      <c r="N9" s="195">
        <f t="shared" si="1"/>
        <v>0</v>
      </c>
      <c r="O9" s="195">
        <f t="shared" si="1"/>
        <v>4</v>
      </c>
      <c r="AM9" s="201" t="s">
        <v>324</v>
      </c>
    </row>
    <row r="10" spans="1:39" s="66" customFormat="1" ht="11.4">
      <c r="A10" s="196" t="s">
        <v>248</v>
      </c>
      <c r="B10" s="197">
        <v>2</v>
      </c>
      <c r="C10" s="197">
        <v>1</v>
      </c>
      <c r="D10" s="197">
        <v>1</v>
      </c>
      <c r="E10" s="197">
        <v>0</v>
      </c>
      <c r="F10" s="197">
        <v>0</v>
      </c>
      <c r="G10" s="197">
        <v>2</v>
      </c>
      <c r="H10" s="197">
        <v>1</v>
      </c>
      <c r="I10" s="197">
        <v>2</v>
      </c>
      <c r="J10" s="197">
        <v>1</v>
      </c>
      <c r="K10" s="197">
        <v>0</v>
      </c>
      <c r="L10" s="197">
        <v>4</v>
      </c>
      <c r="M10" s="197">
        <v>3</v>
      </c>
      <c r="N10" s="197">
        <v>0</v>
      </c>
      <c r="O10" s="197">
        <v>2</v>
      </c>
      <c r="AM10" s="132"/>
    </row>
    <row r="11" spans="1:39" s="66" customFormat="1" ht="11.4">
      <c r="A11" s="196" t="s">
        <v>249</v>
      </c>
      <c r="B11" s="197">
        <v>0</v>
      </c>
      <c r="C11" s="197">
        <v>1</v>
      </c>
      <c r="D11" s="197">
        <v>0</v>
      </c>
      <c r="E11" s="197">
        <v>0</v>
      </c>
      <c r="F11" s="197">
        <v>0</v>
      </c>
      <c r="G11" s="197">
        <v>0</v>
      </c>
      <c r="H11" s="197">
        <v>0</v>
      </c>
      <c r="I11" s="197">
        <v>0</v>
      </c>
      <c r="J11" s="197">
        <v>0</v>
      </c>
      <c r="K11" s="197">
        <v>0</v>
      </c>
      <c r="L11" s="197">
        <v>0</v>
      </c>
      <c r="M11" s="197">
        <v>0</v>
      </c>
      <c r="N11" s="197">
        <v>0</v>
      </c>
      <c r="O11" s="197">
        <v>0</v>
      </c>
      <c r="AM11" s="132"/>
    </row>
    <row r="12" spans="1:39" s="66" customFormat="1" ht="11.4">
      <c r="A12" s="196" t="s">
        <v>250</v>
      </c>
      <c r="B12" s="197">
        <v>0</v>
      </c>
      <c r="C12" s="197">
        <v>0</v>
      </c>
      <c r="D12" s="197">
        <v>0</v>
      </c>
      <c r="E12" s="197">
        <v>0</v>
      </c>
      <c r="F12" s="197">
        <v>0</v>
      </c>
      <c r="G12" s="197">
        <v>0</v>
      </c>
      <c r="H12" s="197">
        <v>0</v>
      </c>
      <c r="I12" s="197">
        <v>0</v>
      </c>
      <c r="J12" s="197">
        <v>1</v>
      </c>
      <c r="K12" s="197">
        <v>0</v>
      </c>
      <c r="L12" s="197">
        <v>0</v>
      </c>
      <c r="M12" s="197">
        <v>0</v>
      </c>
      <c r="N12" s="197">
        <v>0</v>
      </c>
      <c r="O12" s="197">
        <v>0</v>
      </c>
      <c r="AM12" s="132"/>
    </row>
    <row r="13" spans="1:39" s="66" customFormat="1" ht="11.4">
      <c r="A13" s="196" t="s">
        <v>251</v>
      </c>
      <c r="B13" s="197"/>
      <c r="C13" s="197"/>
      <c r="D13" s="197"/>
      <c r="E13" s="197"/>
      <c r="F13" s="197"/>
      <c r="G13" s="197"/>
      <c r="H13" s="197"/>
      <c r="I13" s="197"/>
      <c r="J13" s="197"/>
      <c r="K13" s="197">
        <v>0</v>
      </c>
      <c r="L13" s="197">
        <v>1</v>
      </c>
      <c r="M13" s="197">
        <v>2</v>
      </c>
      <c r="N13" s="197">
        <v>0</v>
      </c>
      <c r="O13" s="197">
        <v>1</v>
      </c>
      <c r="AM13" s="132"/>
    </row>
    <row r="14" spans="1:39" s="66" customFormat="1" ht="11.4">
      <c r="A14" s="196" t="s">
        <v>252</v>
      </c>
      <c r="B14" s="197"/>
      <c r="C14" s="197"/>
      <c r="D14" s="197"/>
      <c r="E14" s="197"/>
      <c r="F14" s="197"/>
      <c r="G14" s="197"/>
      <c r="H14" s="197"/>
      <c r="I14" s="197"/>
      <c r="J14" s="197"/>
      <c r="K14" s="197">
        <v>0</v>
      </c>
      <c r="L14" s="197">
        <v>2</v>
      </c>
      <c r="M14" s="197">
        <v>0</v>
      </c>
      <c r="N14" s="197">
        <v>0</v>
      </c>
      <c r="O14" s="197">
        <v>1</v>
      </c>
      <c r="AM14" s="132"/>
    </row>
    <row r="15" spans="1:39" s="39" customFormat="1">
      <c r="A15" s="39" t="s">
        <v>247</v>
      </c>
      <c r="B15" s="39">
        <f t="shared" ref="B15:O15" si="2">B3+B9</f>
        <v>328</v>
      </c>
      <c r="C15" s="39">
        <f t="shared" si="2"/>
        <v>279</v>
      </c>
      <c r="D15" s="39">
        <f t="shared" si="2"/>
        <v>322</v>
      </c>
      <c r="E15" s="39">
        <f t="shared" si="2"/>
        <v>341</v>
      </c>
      <c r="F15" s="39">
        <f t="shared" si="2"/>
        <v>328</v>
      </c>
      <c r="G15" s="39">
        <f t="shared" si="2"/>
        <v>334</v>
      </c>
      <c r="H15" s="39">
        <f t="shared" si="2"/>
        <v>367</v>
      </c>
      <c r="I15" s="39">
        <f t="shared" si="2"/>
        <v>359</v>
      </c>
      <c r="J15" s="39">
        <f t="shared" si="2"/>
        <v>311</v>
      </c>
      <c r="K15" s="39">
        <f t="shared" si="2"/>
        <v>430</v>
      </c>
      <c r="L15" s="39">
        <f t="shared" si="2"/>
        <v>523</v>
      </c>
      <c r="M15" s="39">
        <f t="shared" si="2"/>
        <v>451</v>
      </c>
      <c r="N15" s="39">
        <f t="shared" si="2"/>
        <v>520</v>
      </c>
      <c r="O15" s="39">
        <f t="shared" si="2"/>
        <v>502</v>
      </c>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66"/>
    </row>
    <row r="16" spans="1:39" s="39" customFormat="1">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66"/>
    </row>
    <row r="17" spans="1:39" s="39" customFormat="1">
      <c r="A17" s="39" t="s">
        <v>304</v>
      </c>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67" t="s">
        <v>325</v>
      </c>
    </row>
    <row r="18" spans="1:39" s="27" customFormat="1">
      <c r="A18" s="196" t="s">
        <v>277</v>
      </c>
      <c r="N18" s="199"/>
      <c r="O18" s="199"/>
      <c r="S18" s="150">
        <f>'Bike Operating Assumptions'!D51</f>
        <v>101353.92805606488</v>
      </c>
      <c r="T18" s="150">
        <f>'Bike Operating Assumptions'!E51</f>
        <v>147087.34803802715</v>
      </c>
      <c r="U18" s="150">
        <f>'Bike Operating Assumptions'!F51</f>
        <v>154249.18657092057</v>
      </c>
      <c r="V18" s="150">
        <f>'Bike Operating Assumptions'!G51</f>
        <v>161819.23655432567</v>
      </c>
      <c r="W18" s="150">
        <f>'Bike Operating Assumptions'!H51</f>
        <v>169824.00066688843</v>
      </c>
      <c r="X18" s="150">
        <f>'Bike Operating Assumptions'!I51</f>
        <v>178291.85083795842</v>
      </c>
      <c r="Y18" s="150">
        <f>'Bike Operating Assumptions'!J51</f>
        <v>187253.16599120776</v>
      </c>
      <c r="Z18" s="150">
        <f>'Bike Operating Assumptions'!K51</f>
        <v>196740.48014991393</v>
      </c>
      <c r="AA18" s="150">
        <f>'Bike Operating Assumptions'!L51</f>
        <v>206788.64169036769</v>
      </c>
      <c r="AB18" s="150">
        <f>'Bike Operating Assumptions'!M51</f>
        <v>217434.98458977405</v>
      </c>
      <c r="AC18" s="150">
        <f>'Bike Operating Assumptions'!N51</f>
        <v>228719.5125794943</v>
      </c>
      <c r="AD18" s="150">
        <f>'Bike Operating Assumptions'!O51</f>
        <v>240685.0971838703</v>
      </c>
      <c r="AE18" s="150">
        <f>'Bike Operating Assumptions'!P51</f>
        <v>253377.69069956284</v>
      </c>
      <c r="AF18" s="150">
        <f>'Bike Operating Assumptions'!Q51</f>
        <v>266846.55525072146</v>
      </c>
      <c r="AG18" s="150">
        <f>'Bike Operating Assumptions'!R51</f>
        <v>281144.50914181932</v>
      </c>
      <c r="AH18" s="150">
        <f>'Bike Operating Assumptions'!S51</f>
        <v>296328.19182310696</v>
      </c>
      <c r="AI18" s="150">
        <f>'Bike Operating Assumptions'!T51</f>
        <v>312458.34888385504</v>
      </c>
      <c r="AJ18" s="150">
        <f>'Bike Operating Assumptions'!U51</f>
        <v>329600.13859642623</v>
      </c>
      <c r="AK18" s="150">
        <f>'Bike Operating Assumptions'!V51</f>
        <v>347823.46165030485</v>
      </c>
      <c r="AL18" s="150">
        <f>'Bike Operating Assumptions'!W51</f>
        <v>367203.31584016851</v>
      </c>
      <c r="AM18" s="2"/>
    </row>
    <row r="19" spans="1:39" s="27" customFormat="1">
      <c r="A19" s="196" t="s">
        <v>305</v>
      </c>
      <c r="B19" s="150">
        <f>SUM(B32:D37)</f>
        <v>60395</v>
      </c>
      <c r="C19" s="150">
        <f>B19+(($O$19-B19)/($O$2-B2))</f>
        <v>62515.371538461543</v>
      </c>
      <c r="D19" s="150">
        <f t="shared" ref="D19:N19" si="3">C19+(($O$19-C19)/($O$2-C2))</f>
        <v>64635.743076923085</v>
      </c>
      <c r="E19" s="150">
        <f t="shared" si="3"/>
        <v>66756.11461538462</v>
      </c>
      <c r="F19" s="150">
        <f t="shared" si="3"/>
        <v>68876.486153846156</v>
      </c>
      <c r="G19" s="150">
        <f t="shared" si="3"/>
        <v>70996.857692307691</v>
      </c>
      <c r="H19" s="150">
        <f t="shared" si="3"/>
        <v>73117.229230769226</v>
      </c>
      <c r="I19" s="150">
        <f t="shared" si="3"/>
        <v>75237.600769230761</v>
      </c>
      <c r="J19" s="150">
        <f t="shared" si="3"/>
        <v>77357.972307692311</v>
      </c>
      <c r="K19" s="150">
        <f t="shared" si="3"/>
        <v>79478.343846153846</v>
      </c>
      <c r="L19" s="150">
        <f t="shared" si="3"/>
        <v>81598.715384615381</v>
      </c>
      <c r="M19" s="150">
        <f t="shared" si="3"/>
        <v>83719.086923076931</v>
      </c>
      <c r="N19" s="150">
        <f t="shared" si="3"/>
        <v>85839.458461538481</v>
      </c>
      <c r="O19" s="150">
        <f>SUM(B40:D45)</f>
        <v>87959.830000000016</v>
      </c>
      <c r="P19" s="150">
        <f>O19*(1+0.035)</f>
        <v>91038.424050000016</v>
      </c>
      <c r="Q19" s="150">
        <f t="shared" ref="Q19:AL19" si="4">P19*(1+0.035)</f>
        <v>94224.768891750005</v>
      </c>
      <c r="R19" s="150">
        <f t="shared" si="4"/>
        <v>97522.635802961246</v>
      </c>
      <c r="S19" s="150">
        <f t="shared" si="4"/>
        <v>100935.92805606488</v>
      </c>
      <c r="T19" s="150">
        <f t="shared" si="4"/>
        <v>104468.68553802714</v>
      </c>
      <c r="U19" s="150">
        <f t="shared" si="4"/>
        <v>108125.08953185809</v>
      </c>
      <c r="V19" s="150">
        <f t="shared" si="4"/>
        <v>111909.46766547312</v>
      </c>
      <c r="W19" s="150">
        <f t="shared" si="4"/>
        <v>115826.29903376466</v>
      </c>
      <c r="X19" s="150">
        <f t="shared" si="4"/>
        <v>119880.21949994641</v>
      </c>
      <c r="Y19" s="150">
        <f t="shared" si="4"/>
        <v>124076.02718244452</v>
      </c>
      <c r="Z19" s="150">
        <f t="shared" si="4"/>
        <v>128418.68813383007</v>
      </c>
      <c r="AA19" s="150">
        <f t="shared" si="4"/>
        <v>132913.34221851412</v>
      </c>
      <c r="AB19" s="150">
        <f t="shared" si="4"/>
        <v>137565.3091961621</v>
      </c>
      <c r="AC19" s="150">
        <f t="shared" si="4"/>
        <v>142380.09501802776</v>
      </c>
      <c r="AD19" s="150">
        <f t="shared" si="4"/>
        <v>147363.39834365872</v>
      </c>
      <c r="AE19" s="150">
        <f t="shared" si="4"/>
        <v>152521.11728568675</v>
      </c>
      <c r="AF19" s="150">
        <f t="shared" si="4"/>
        <v>157859.35639068577</v>
      </c>
      <c r="AG19" s="150">
        <f t="shared" si="4"/>
        <v>163384.43386435977</v>
      </c>
      <c r="AH19" s="150">
        <f t="shared" si="4"/>
        <v>169102.88904961236</v>
      </c>
      <c r="AI19" s="150">
        <f t="shared" si="4"/>
        <v>175021.49016634878</v>
      </c>
      <c r="AJ19" s="150">
        <f t="shared" si="4"/>
        <v>181147.24232217099</v>
      </c>
      <c r="AK19" s="150">
        <f t="shared" si="4"/>
        <v>187487.39580344697</v>
      </c>
      <c r="AL19" s="150">
        <f t="shared" si="4"/>
        <v>194049.4546565676</v>
      </c>
      <c r="AM19" s="2"/>
    </row>
    <row r="20" spans="1:39" s="27" customFormat="1">
      <c r="A20" s="196"/>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2"/>
    </row>
    <row r="21" spans="1:39" s="27" customFormat="1">
      <c r="A21" s="200" t="s">
        <v>275</v>
      </c>
      <c r="N21" s="199"/>
      <c r="O21" s="199"/>
      <c r="AM21" s="2"/>
    </row>
    <row r="22" spans="1:39" s="27" customFormat="1">
      <c r="A22" s="27" t="s">
        <v>273</v>
      </c>
      <c r="N22" s="199"/>
      <c r="O22" s="199">
        <f>(O19/N19)^0.4</f>
        <v>1.0098083671464766</v>
      </c>
      <c r="P22" s="199">
        <f t="shared" ref="P22:AL22" si="5">(P19/O19)^0.4</f>
        <v>1.0138556831060714</v>
      </c>
      <c r="Q22" s="199">
        <f t="shared" si="5"/>
        <v>1.0138556831060714</v>
      </c>
      <c r="R22" s="199">
        <f t="shared" si="5"/>
        <v>1.0138556831060714</v>
      </c>
      <c r="S22" s="199">
        <f t="shared" si="5"/>
        <v>1.0138556831060714</v>
      </c>
      <c r="T22" s="199">
        <f t="shared" si="5"/>
        <v>1.0138556831060714</v>
      </c>
      <c r="U22" s="199">
        <f t="shared" si="5"/>
        <v>1.0138556831060714</v>
      </c>
      <c r="V22" s="199">
        <f t="shared" si="5"/>
        <v>1.0138556831060714</v>
      </c>
      <c r="W22" s="199">
        <f t="shared" si="5"/>
        <v>1.0138556831060714</v>
      </c>
      <c r="X22" s="199">
        <f t="shared" si="5"/>
        <v>1.0138556831060714</v>
      </c>
      <c r="Y22" s="199">
        <f t="shared" si="5"/>
        <v>1.0138556831060714</v>
      </c>
      <c r="Z22" s="199">
        <f t="shared" si="5"/>
        <v>1.0138556831060714</v>
      </c>
      <c r="AA22" s="199">
        <f t="shared" si="5"/>
        <v>1.0138556831060714</v>
      </c>
      <c r="AB22" s="199">
        <f t="shared" si="5"/>
        <v>1.0138556831060714</v>
      </c>
      <c r="AC22" s="199">
        <f t="shared" si="5"/>
        <v>1.0138556831060714</v>
      </c>
      <c r="AD22" s="199">
        <f t="shared" si="5"/>
        <v>1.0138556831060714</v>
      </c>
      <c r="AE22" s="199">
        <f t="shared" si="5"/>
        <v>1.0138556831060714</v>
      </c>
      <c r="AF22" s="199">
        <f t="shared" si="5"/>
        <v>1.0138556831060714</v>
      </c>
      <c r="AG22" s="199">
        <f t="shared" si="5"/>
        <v>1.0138556831060714</v>
      </c>
      <c r="AH22" s="199">
        <f t="shared" si="5"/>
        <v>1.0138556831060714</v>
      </c>
      <c r="AI22" s="199">
        <f t="shared" si="5"/>
        <v>1.0138556831060714</v>
      </c>
      <c r="AJ22" s="199">
        <f t="shared" si="5"/>
        <v>1.0138556831060714</v>
      </c>
      <c r="AK22" s="199">
        <f t="shared" si="5"/>
        <v>1.0138556831060714</v>
      </c>
      <c r="AL22" s="199">
        <f t="shared" si="5"/>
        <v>1.0138556831060714</v>
      </c>
      <c r="AM22" s="2" t="s">
        <v>306</v>
      </c>
    </row>
    <row r="23" spans="1:39" s="27" customFormat="1">
      <c r="A23" s="27" t="s">
        <v>274</v>
      </c>
      <c r="N23" s="199"/>
      <c r="O23" s="199">
        <f>O15*O22</f>
        <v>506.92380030753122</v>
      </c>
      <c r="P23" s="199">
        <f>O23*P22</f>
        <v>513.94757584351782</v>
      </c>
      <c r="Q23" s="199">
        <f t="shared" ref="Q23:AL23" si="6">P23*Q22</f>
        <v>521.06867058753926</v>
      </c>
      <c r="R23" s="199">
        <f t="shared" si="6"/>
        <v>528.28843296370212</v>
      </c>
      <c r="S23" s="199">
        <f t="shared" si="6"/>
        <v>535.60823007945021</v>
      </c>
      <c r="T23" s="199">
        <f t="shared" si="6"/>
        <v>543.02944798443491</v>
      </c>
      <c r="U23" s="199">
        <f t="shared" si="6"/>
        <v>550.55349193297218</v>
      </c>
      <c r="V23" s="199">
        <f t="shared" si="6"/>
        <v>558.18178665013647</v>
      </c>
      <c r="W23" s="199">
        <f t="shared" si="6"/>
        <v>565.91577660154155</v>
      </c>
      <c r="X23" s="199">
        <f t="shared" si="6"/>
        <v>573.75692626685884</v>
      </c>
      <c r="Y23" s="199">
        <f t="shared" si="6"/>
        <v>581.70672041712601</v>
      </c>
      <c r="Z23" s="199">
        <f t="shared" si="6"/>
        <v>589.76666439589781</v>
      </c>
      <c r="AA23" s="199">
        <f t="shared" si="6"/>
        <v>597.93828440429218</v>
      </c>
      <c r="AB23" s="199">
        <f t="shared" si="6"/>
        <v>606.22312778998605</v>
      </c>
      <c r="AC23" s="199">
        <f t="shared" si="6"/>
        <v>614.62276334021556</v>
      </c>
      <c r="AD23" s="199">
        <f t="shared" si="6"/>
        <v>623.13878157883551</v>
      </c>
      <c r="AE23" s="199">
        <f t="shared" si="6"/>
        <v>631.77279506749528</v>
      </c>
      <c r="AF23" s="199">
        <f t="shared" si="6"/>
        <v>640.52643871098746</v>
      </c>
      <c r="AG23" s="199">
        <f t="shared" si="6"/>
        <v>649.40137006682744</v>
      </c>
      <c r="AH23" s="199">
        <f t="shared" si="6"/>
        <v>658.39926965912207</v>
      </c>
      <c r="AI23" s="199">
        <f t="shared" si="6"/>
        <v>667.52184129678778</v>
      </c>
      <c r="AJ23" s="199">
        <f t="shared" si="6"/>
        <v>676.77081239617735</v>
      </c>
      <c r="AK23" s="199">
        <f t="shared" si="6"/>
        <v>686.14793430817735</v>
      </c>
      <c r="AL23" s="199">
        <f t="shared" si="6"/>
        <v>695.65498264983694</v>
      </c>
      <c r="AM23" s="2"/>
    </row>
    <row r="24" spans="1:39" s="27" customFormat="1">
      <c r="A24" s="200" t="s">
        <v>276</v>
      </c>
      <c r="N24" s="199"/>
      <c r="O24" s="199"/>
      <c r="AM24" s="2"/>
    </row>
    <row r="25" spans="1:39" s="27" customFormat="1">
      <c r="A25" s="27" t="s">
        <v>273</v>
      </c>
      <c r="N25" s="199"/>
      <c r="O25" s="199"/>
      <c r="S25" s="199">
        <f>(S18/R19)^0.4</f>
        <v>1.0155330494766437</v>
      </c>
      <c r="T25" s="199">
        <f>(T18/S19)^0.4</f>
        <v>1.1625504668915212</v>
      </c>
      <c r="U25" s="199">
        <f>(U18/T18)^0.4</f>
        <v>1.0191990868324357</v>
      </c>
      <c r="V25" s="199">
        <f t="shared" ref="V25:AL25" si="7">(V18/U18)^0.4</f>
        <v>1.0193490116472685</v>
      </c>
      <c r="W25" s="199">
        <f t="shared" si="7"/>
        <v>1.0195007929644002</v>
      </c>
      <c r="X25" s="199">
        <f t="shared" si="7"/>
        <v>1.0196543357987733</v>
      </c>
      <c r="Y25" s="199">
        <f t="shared" si="7"/>
        <v>1.0198095400457621</v>
      </c>
      <c r="Z25" s="199">
        <f t="shared" si="7"/>
        <v>1.0199663006897099</v>
      </c>
      <c r="AA25" s="199">
        <f t="shared" si="7"/>
        <v>1.0201245080420025</v>
      </c>
      <c r="AB25" s="199">
        <f t="shared" si="7"/>
        <v>1.0202840480078956</v>
      </c>
      <c r="AC25" s="199">
        <f t="shared" si="7"/>
        <v>1.0204448023810289</v>
      </c>
      <c r="AD25" s="199">
        <f t="shared" si="7"/>
        <v>1.0206066491642543</v>
      </c>
      <c r="AE25" s="199">
        <f t="shared" si="7"/>
        <v>1.0207694629151471</v>
      </c>
      <c r="AF25" s="199">
        <f t="shared" si="7"/>
        <v>1.0209331151142804</v>
      </c>
      <c r="AG25" s="199">
        <f t="shared" si="7"/>
        <v>1.0210974745540986</v>
      </c>
      <c r="AH25" s="199">
        <f t="shared" si="7"/>
        <v>1.0212624077459924</v>
      </c>
      <c r="AI25" s="199">
        <f t="shared" si="7"/>
        <v>1.021427779342962</v>
      </c>
      <c r="AJ25" s="199">
        <f t="shared" si="7"/>
        <v>1.0215934525750843</v>
      </c>
      <c r="AK25" s="199">
        <f t="shared" si="7"/>
        <v>1.0217592896948346</v>
      </c>
      <c r="AL25" s="199">
        <f t="shared" si="7"/>
        <v>1.0219251524292143</v>
      </c>
      <c r="AM25" s="2"/>
    </row>
    <row r="26" spans="1:39" s="27" customFormat="1">
      <c r="A26" s="27" t="s">
        <v>274</v>
      </c>
      <c r="N26" s="199"/>
      <c r="O26" s="199"/>
      <c r="S26" s="27">
        <f>R23*S25</f>
        <v>536.49436333086589</v>
      </c>
      <c r="T26" s="27">
        <f>S23*T25</f>
        <v>622.67159794980614</v>
      </c>
      <c r="U26" s="27">
        <f>T26*U25</f>
        <v>634.62632402693589</v>
      </c>
      <c r="V26" s="27">
        <f t="shared" ref="V26:AG26" si="8">U26*V25</f>
        <v>646.90571616219631</v>
      </c>
      <c r="W26" s="27">
        <f t="shared" si="8"/>
        <v>659.52089060056232</v>
      </c>
      <c r="X26" s="27">
        <f t="shared" si="8"/>
        <v>672.48333565073176</v>
      </c>
      <c r="Y26" s="27">
        <f t="shared" si="8"/>
        <v>685.80492121841257</v>
      </c>
      <c r="Z26" s="27">
        <f t="shared" si="8"/>
        <v>699.49790848994223</v>
      </c>
      <c r="AA26" s="27">
        <f t="shared" si="8"/>
        <v>713.57495977471206</v>
      </c>
      <c r="AB26" s="27">
        <f t="shared" si="8"/>
        <v>728.0491485160145</v>
      </c>
      <c r="AC26" s="27">
        <f t="shared" si="8"/>
        <v>742.93396948110069</v>
      </c>
      <c r="AD26" s="27">
        <f t="shared" si="8"/>
        <v>758.24334914240455</v>
      </c>
      <c r="AE26" s="27">
        <f t="shared" si="8"/>
        <v>773.99165626307467</v>
      </c>
      <c r="AF26" s="27">
        <f t="shared" si="8"/>
        <v>790.19371270112219</v>
      </c>
      <c r="AG26" s="27">
        <f t="shared" si="8"/>
        <v>806.86480444764277</v>
      </c>
      <c r="AH26" s="27">
        <f t="shared" ref="AH26:AL26" si="9">AG26*AH25</f>
        <v>824.02069291569899</v>
      </c>
      <c r="AI26" s="27">
        <f t="shared" si="9"/>
        <v>841.67762649753126</v>
      </c>
      <c r="AJ26" s="27">
        <f t="shared" si="9"/>
        <v>859.85235240881525</v>
      </c>
      <c r="AK26" s="27">
        <f t="shared" si="9"/>
        <v>878.56212883966373</v>
      </c>
      <c r="AL26" s="27">
        <f t="shared" si="9"/>
        <v>897.82473743300841</v>
      </c>
      <c r="AM26" s="2"/>
    </row>
    <row r="31" spans="1:39">
      <c r="A31" t="s">
        <v>264</v>
      </c>
      <c r="B31" t="s">
        <v>265</v>
      </c>
      <c r="C31" t="s">
        <v>266</v>
      </c>
      <c r="D31" t="s">
        <v>267</v>
      </c>
    </row>
    <row r="32" spans="1:39">
      <c r="A32" t="s">
        <v>248</v>
      </c>
      <c r="B32" s="147">
        <v>22729</v>
      </c>
      <c r="C32">
        <v>0</v>
      </c>
      <c r="D32">
        <v>0</v>
      </c>
    </row>
    <row r="33" spans="1:6">
      <c r="A33" t="s">
        <v>263</v>
      </c>
      <c r="B33" s="147">
        <v>3018</v>
      </c>
      <c r="C33">
        <v>324</v>
      </c>
      <c r="D33">
        <v>324</v>
      </c>
    </row>
    <row r="34" spans="1:6">
      <c r="A34" t="s">
        <v>250</v>
      </c>
      <c r="B34" s="147">
        <v>2422</v>
      </c>
      <c r="C34">
        <v>0</v>
      </c>
      <c r="D34">
        <v>0</v>
      </c>
    </row>
    <row r="35" spans="1:6">
      <c r="A35" t="s">
        <v>262</v>
      </c>
      <c r="B35" s="147">
        <v>10788</v>
      </c>
      <c r="C35">
        <v>589</v>
      </c>
      <c r="D35">
        <v>589</v>
      </c>
    </row>
    <row r="36" spans="1:6">
      <c r="A36" s="111" t="s">
        <v>375</v>
      </c>
      <c r="B36" s="147">
        <v>4846</v>
      </c>
      <c r="C36">
        <v>0</v>
      </c>
      <c r="D36">
        <v>0</v>
      </c>
    </row>
    <row r="37" spans="1:6">
      <c r="A37" s="111" t="s">
        <v>374</v>
      </c>
      <c r="B37" s="147">
        <v>14766</v>
      </c>
      <c r="C37">
        <v>0</v>
      </c>
      <c r="D37">
        <v>0</v>
      </c>
    </row>
    <row r="38" spans="1:6">
      <c r="A38" s="153" t="s">
        <v>426</v>
      </c>
      <c r="B38" s="246">
        <f>SUM(B32:B37)</f>
        <v>58569</v>
      </c>
    </row>
    <row r="39" spans="1:6">
      <c r="A39" s="111" t="s">
        <v>376</v>
      </c>
      <c r="B39" s="147" t="s">
        <v>265</v>
      </c>
      <c r="C39" t="s">
        <v>266</v>
      </c>
      <c r="D39" t="s">
        <v>267</v>
      </c>
      <c r="E39" t="s">
        <v>425</v>
      </c>
      <c r="F39" s="111" t="s">
        <v>427</v>
      </c>
    </row>
    <row r="40" spans="1:6">
      <c r="A40" t="s">
        <v>248</v>
      </c>
      <c r="B40" s="147">
        <v>27053</v>
      </c>
      <c r="C40">
        <v>270.7</v>
      </c>
      <c r="D40">
        <v>270.7</v>
      </c>
      <c r="E40" s="233">
        <f>(B40-B32)/B32</f>
        <v>0.19024154164283513</v>
      </c>
      <c r="F40" s="147">
        <f>B40-B32</f>
        <v>4324</v>
      </c>
    </row>
    <row r="41" spans="1:6">
      <c r="A41" t="s">
        <v>263</v>
      </c>
      <c r="B41" s="147">
        <v>5479.3</v>
      </c>
      <c r="C41">
        <v>597.02</v>
      </c>
      <c r="D41">
        <v>597.02</v>
      </c>
      <c r="E41" s="233">
        <f t="shared" ref="E41:E46" si="10">(B41-B33)/B33</f>
        <v>0.81554009277667339</v>
      </c>
      <c r="F41" s="147">
        <f t="shared" ref="F41:F46" si="11">B41-B33</f>
        <v>2461.3000000000002</v>
      </c>
    </row>
    <row r="42" spans="1:6">
      <c r="A42" t="s">
        <v>250</v>
      </c>
      <c r="B42" s="147">
        <v>4714.8</v>
      </c>
      <c r="C42">
        <v>553.78</v>
      </c>
      <c r="D42">
        <v>443.55</v>
      </c>
      <c r="E42" s="233">
        <f t="shared" si="10"/>
        <v>0.94665565648224614</v>
      </c>
      <c r="F42" s="147">
        <f t="shared" si="11"/>
        <v>2292.8000000000002</v>
      </c>
    </row>
    <row r="43" spans="1:6">
      <c r="A43" t="s">
        <v>262</v>
      </c>
      <c r="B43" s="147">
        <v>20829</v>
      </c>
      <c r="C43">
        <v>1845.5</v>
      </c>
      <c r="D43">
        <v>1639.8</v>
      </c>
      <c r="E43" s="233">
        <f t="shared" si="10"/>
        <v>0.9307563959955506</v>
      </c>
      <c r="F43" s="147">
        <f t="shared" si="11"/>
        <v>10041</v>
      </c>
    </row>
    <row r="44" spans="1:6">
      <c r="A44" s="111" t="s">
        <v>375</v>
      </c>
      <c r="B44" s="147">
        <v>10226</v>
      </c>
      <c r="C44">
        <v>768</v>
      </c>
      <c r="D44">
        <v>768</v>
      </c>
      <c r="E44" s="233">
        <f t="shared" si="10"/>
        <v>1.1101939744118861</v>
      </c>
      <c r="F44" s="147">
        <f t="shared" si="11"/>
        <v>5380</v>
      </c>
    </row>
    <row r="45" spans="1:6">
      <c r="A45" s="111" t="s">
        <v>374</v>
      </c>
      <c r="B45" s="147">
        <v>11413</v>
      </c>
      <c r="C45">
        <v>245.33</v>
      </c>
      <c r="D45">
        <v>245.33</v>
      </c>
      <c r="E45" s="233">
        <f t="shared" si="10"/>
        <v>-0.22707571447920899</v>
      </c>
      <c r="F45" s="147">
        <f t="shared" si="11"/>
        <v>-3353</v>
      </c>
    </row>
    <row r="46" spans="1:6">
      <c r="A46" s="153" t="s">
        <v>426</v>
      </c>
      <c r="B46" s="246">
        <f>SUM(B40:B45)</f>
        <v>79715.100000000006</v>
      </c>
      <c r="E46" s="245">
        <f t="shared" si="10"/>
        <v>0.36104594580750921</v>
      </c>
      <c r="F46" s="147">
        <f t="shared" si="11"/>
        <v>21146.100000000006</v>
      </c>
    </row>
  </sheetData>
  <phoneticPr fontId="2"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F11"/>
  <sheetViews>
    <sheetView workbookViewId="0">
      <selection activeCell="G15" sqref="G15"/>
    </sheetView>
  </sheetViews>
  <sheetFormatPr defaultRowHeight="13.2"/>
  <cols>
    <col min="1" max="1" width="13.6640625" bestFit="1" customWidth="1"/>
    <col min="2" max="2" width="5.33203125" bestFit="1" customWidth="1"/>
    <col min="3" max="3" width="9.33203125" bestFit="1" customWidth="1"/>
    <col min="4" max="4" width="5.6640625" bestFit="1" customWidth="1"/>
    <col min="5" max="5" width="7" bestFit="1" customWidth="1"/>
  </cols>
  <sheetData>
    <row r="1" spans="1:6">
      <c r="B1" t="s">
        <v>184</v>
      </c>
      <c r="C1" t="s">
        <v>185</v>
      </c>
      <c r="D1" t="s">
        <v>186</v>
      </c>
      <c r="E1" t="s">
        <v>187</v>
      </c>
      <c r="F1" t="s">
        <v>188</v>
      </c>
    </row>
    <row r="2" spans="1:6">
      <c r="A2" t="s">
        <v>178</v>
      </c>
      <c r="B2">
        <v>0.65</v>
      </c>
      <c r="C2">
        <v>0.51</v>
      </c>
      <c r="D2">
        <v>0.5</v>
      </c>
      <c r="E2">
        <v>0.34</v>
      </c>
      <c r="F2" s="119">
        <f t="shared" ref="F2:F7" si="0">AVERAGE(B2:E2)</f>
        <v>0.5</v>
      </c>
    </row>
    <row r="3" spans="1:6">
      <c r="A3" t="s">
        <v>179</v>
      </c>
      <c r="B3">
        <v>0.2</v>
      </c>
      <c r="C3">
        <v>0.26</v>
      </c>
      <c r="D3">
        <v>0.37</v>
      </c>
      <c r="E3">
        <v>0.21</v>
      </c>
      <c r="F3" s="119">
        <f t="shared" si="0"/>
        <v>0.26</v>
      </c>
    </row>
    <row r="4" spans="1:6">
      <c r="A4" t="s">
        <v>180</v>
      </c>
      <c r="B4">
        <v>0.08</v>
      </c>
      <c r="C4">
        <v>0.1</v>
      </c>
      <c r="D4">
        <v>7.0000000000000007E-2</v>
      </c>
      <c r="E4">
        <v>0.06</v>
      </c>
      <c r="F4" s="119">
        <f t="shared" si="0"/>
        <v>7.7499999999999999E-2</v>
      </c>
    </row>
    <row r="5" spans="1:6">
      <c r="A5" t="s">
        <v>181</v>
      </c>
      <c r="B5" s="118"/>
      <c r="D5">
        <v>0.04</v>
      </c>
      <c r="E5">
        <v>0.06</v>
      </c>
      <c r="F5" s="119">
        <f t="shared" si="0"/>
        <v>0.05</v>
      </c>
    </row>
    <row r="6" spans="1:6">
      <c r="A6" t="s">
        <v>182</v>
      </c>
      <c r="B6">
        <v>0.05</v>
      </c>
      <c r="D6">
        <v>0</v>
      </c>
      <c r="F6" s="119">
        <f t="shared" si="0"/>
        <v>2.5000000000000001E-2</v>
      </c>
    </row>
    <row r="7" spans="1:6">
      <c r="A7" t="s">
        <v>183</v>
      </c>
      <c r="B7" s="118">
        <v>0</v>
      </c>
      <c r="D7">
        <v>0.02</v>
      </c>
      <c r="E7">
        <v>0.23</v>
      </c>
      <c r="F7" s="119">
        <f t="shared" si="0"/>
        <v>8.3333333333333329E-2</v>
      </c>
    </row>
    <row r="8" spans="1:6">
      <c r="B8" s="119">
        <f>SUM(B2:B7)</f>
        <v>0.98000000000000009</v>
      </c>
      <c r="C8" s="119">
        <f>SUM(C2:C7)</f>
        <v>0.87</v>
      </c>
      <c r="D8" s="119">
        <f>SUM(D2:D7)</f>
        <v>1</v>
      </c>
      <c r="E8" s="119">
        <f>SUM(E2:E7)</f>
        <v>0.90000000000000013</v>
      </c>
      <c r="F8" s="119">
        <f>SUM(F2:F7)</f>
        <v>0.99583333333333346</v>
      </c>
    </row>
    <row r="10" spans="1:6">
      <c r="A10" t="s">
        <v>54</v>
      </c>
      <c r="B10" t="s">
        <v>189</v>
      </c>
    </row>
    <row r="11" spans="1:6">
      <c r="A11" t="s">
        <v>190</v>
      </c>
    </row>
  </sheetData>
  <phoneticPr fontId="2"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X50"/>
  <sheetViews>
    <sheetView workbookViewId="0">
      <pane xSplit="1" ySplit="2" topLeftCell="B3" activePane="bottomRight" state="frozen"/>
      <selection pane="topRight" activeCell="B1" sqref="B1"/>
      <selection pane="bottomLeft" activeCell="A3" sqref="A3"/>
      <selection pane="bottomRight" activeCell="C30" sqref="A30:XFD30"/>
    </sheetView>
  </sheetViews>
  <sheetFormatPr defaultRowHeight="13.2"/>
  <cols>
    <col min="1" max="1" width="61.5546875" bestFit="1" customWidth="1"/>
    <col min="2" max="2" width="6" bestFit="1" customWidth="1"/>
    <col min="3" max="3" width="6.5546875" bestFit="1" customWidth="1"/>
    <col min="4" max="4" width="7.109375" bestFit="1" customWidth="1"/>
    <col min="24" max="24" width="35.33203125" style="2" bestFit="1" customWidth="1"/>
  </cols>
  <sheetData>
    <row r="1" spans="1:24" s="96" customFormat="1">
      <c r="B1" s="98">
        <v>2009</v>
      </c>
      <c r="C1" s="98">
        <v>2010</v>
      </c>
      <c r="D1" s="94">
        <v>2011</v>
      </c>
      <c r="E1" s="94">
        <v>2012</v>
      </c>
      <c r="F1" s="94">
        <v>2013</v>
      </c>
      <c r="G1" s="94">
        <v>2014</v>
      </c>
      <c r="H1" s="94">
        <v>2015</v>
      </c>
      <c r="I1" s="94">
        <v>2016</v>
      </c>
      <c r="J1" s="94">
        <v>2017</v>
      </c>
      <c r="K1" s="94">
        <v>2018</v>
      </c>
      <c r="L1" s="94">
        <v>2019</v>
      </c>
      <c r="M1" s="94">
        <v>2020</v>
      </c>
      <c r="N1" s="94">
        <v>2021</v>
      </c>
      <c r="O1" s="94">
        <v>2022</v>
      </c>
      <c r="P1" s="94">
        <v>2023</v>
      </c>
      <c r="Q1" s="94">
        <v>2024</v>
      </c>
      <c r="R1" s="94">
        <v>2025</v>
      </c>
      <c r="S1" s="94">
        <v>2026</v>
      </c>
      <c r="T1" s="94">
        <v>2027</v>
      </c>
      <c r="U1" s="94">
        <v>2028</v>
      </c>
      <c r="V1" s="94">
        <v>2029</v>
      </c>
      <c r="W1" s="94">
        <v>2030</v>
      </c>
      <c r="X1" s="97"/>
    </row>
    <row r="2" spans="1:24" s="96" customFormat="1">
      <c r="D2" s="94" t="s">
        <v>22</v>
      </c>
      <c r="E2" s="94" t="s">
        <v>23</v>
      </c>
      <c r="F2" s="94" t="s">
        <v>24</v>
      </c>
      <c r="G2" s="94" t="s">
        <v>25</v>
      </c>
      <c r="H2" s="94" t="s">
        <v>26</v>
      </c>
      <c r="I2" s="94" t="s">
        <v>27</v>
      </c>
      <c r="J2" s="94" t="s">
        <v>28</v>
      </c>
      <c r="K2" s="94" t="s">
        <v>29</v>
      </c>
      <c r="L2" s="94" t="s">
        <v>30</v>
      </c>
      <c r="M2" s="94" t="s">
        <v>31</v>
      </c>
      <c r="N2" s="94" t="s">
        <v>32</v>
      </c>
      <c r="O2" s="94" t="s">
        <v>33</v>
      </c>
      <c r="P2" s="94" t="s">
        <v>34</v>
      </c>
      <c r="Q2" s="94" t="s">
        <v>35</v>
      </c>
      <c r="R2" s="94" t="s">
        <v>36</v>
      </c>
      <c r="S2" s="94" t="s">
        <v>37</v>
      </c>
      <c r="T2" s="94" t="s">
        <v>38</v>
      </c>
      <c r="U2" s="94" t="s">
        <v>39</v>
      </c>
      <c r="V2" s="94" t="s">
        <v>40</v>
      </c>
      <c r="W2" s="94" t="s">
        <v>174</v>
      </c>
      <c r="X2" s="97" t="s">
        <v>54</v>
      </c>
    </row>
    <row r="3" spans="1:24">
      <c r="A3" s="4" t="s">
        <v>41</v>
      </c>
      <c r="B3" s="33"/>
      <c r="C3" s="33"/>
      <c r="D3" s="33"/>
    </row>
    <row r="4" spans="1:24">
      <c r="A4" s="5" t="s">
        <v>18</v>
      </c>
      <c r="B4" s="34">
        <v>9.5758628845214808</v>
      </c>
      <c r="C4" s="34">
        <v>10.819576263427701</v>
      </c>
      <c r="D4" s="219">
        <v>12.623100280761699</v>
      </c>
      <c r="E4" s="6">
        <v>13.6162414550781</v>
      </c>
      <c r="F4" s="6">
        <v>14.363556861877401</v>
      </c>
      <c r="G4" s="6">
        <v>15.1588459014893</v>
      </c>
      <c r="H4" s="6">
        <v>15.9627180099487</v>
      </c>
      <c r="I4" s="6">
        <v>16.526170730590799</v>
      </c>
      <c r="J4" s="6">
        <v>17.078506469726602</v>
      </c>
      <c r="K4" s="6">
        <v>17.593391418456999</v>
      </c>
      <c r="L4" s="6">
        <v>17.965105056762699</v>
      </c>
      <c r="M4" s="6">
        <v>18.279966354370099</v>
      </c>
      <c r="N4" s="6">
        <v>18.3575534820557</v>
      </c>
      <c r="O4" s="6">
        <v>18.529321670532202</v>
      </c>
      <c r="P4" s="6">
        <v>18.626707077026399</v>
      </c>
      <c r="Q4" s="6">
        <v>18.643268585205099</v>
      </c>
      <c r="R4" s="6">
        <v>18.592096328735401</v>
      </c>
      <c r="S4" s="6">
        <v>18.7658367156982</v>
      </c>
      <c r="T4" s="6">
        <v>18.7553615570068</v>
      </c>
      <c r="U4" s="6">
        <v>19.002773284912099</v>
      </c>
      <c r="V4" s="6">
        <v>19.539953231811499</v>
      </c>
      <c r="W4" s="6">
        <v>19.3156414031982</v>
      </c>
      <c r="X4" s="2" t="s">
        <v>308</v>
      </c>
    </row>
    <row r="5" spans="1:24">
      <c r="A5" t="s">
        <v>19</v>
      </c>
      <c r="B5" s="33"/>
      <c r="C5" s="108">
        <f t="shared" ref="C5:W5" si="0">(C4-B4)/B4</f>
        <v>0.12988003210828869</v>
      </c>
      <c r="D5" s="220">
        <f t="shared" si="0"/>
        <v>0.16669081796024351</v>
      </c>
      <c r="E5" s="109">
        <f>(E4-D4)/D4</f>
        <v>7.8676486142631924E-2</v>
      </c>
      <c r="F5" s="109">
        <f t="shared" si="0"/>
        <v>5.4884118298342409E-2</v>
      </c>
      <c r="G5" s="109">
        <f t="shared" si="0"/>
        <v>5.536853073786286E-2</v>
      </c>
      <c r="H5" s="109">
        <f t="shared" si="0"/>
        <v>5.3029901727572964E-2</v>
      </c>
      <c r="I5" s="109">
        <f t="shared" si="0"/>
        <v>3.5298043872661854E-2</v>
      </c>
      <c r="J5" s="109">
        <f t="shared" si="0"/>
        <v>3.3421882669613261E-2</v>
      </c>
      <c r="K5" s="109">
        <f t="shared" si="0"/>
        <v>3.0148125050810732E-2</v>
      </c>
      <c r="L5" s="109">
        <f t="shared" si="0"/>
        <v>2.1128026397215241E-2</v>
      </c>
      <c r="M5" s="109">
        <f t="shared" si="0"/>
        <v>1.7526270879717216E-2</v>
      </c>
      <c r="N5" s="109">
        <f t="shared" si="0"/>
        <v>4.2443802237662111E-3</v>
      </c>
      <c r="O5" s="109">
        <f t="shared" si="0"/>
        <v>9.3568126408785108E-3</v>
      </c>
      <c r="P5" s="109">
        <f t="shared" si="0"/>
        <v>5.2557459051009257E-3</v>
      </c>
      <c r="Q5" s="109">
        <f t="shared" si="0"/>
        <v>8.8912699975438644E-4</v>
      </c>
      <c r="R5" s="109">
        <f t="shared" si="0"/>
        <v>-2.7448114173663383E-3</v>
      </c>
      <c r="S5" s="109">
        <f t="shared" si="0"/>
        <v>9.3448519139969263E-3</v>
      </c>
      <c r="T5" s="109">
        <f t="shared" si="0"/>
        <v>-5.5820365753456397E-4</v>
      </c>
      <c r="U5" s="109">
        <f t="shared" si="0"/>
        <v>1.3191520043657487E-2</v>
      </c>
      <c r="V5" s="109">
        <f t="shared" si="0"/>
        <v>2.8268502646711689E-2</v>
      </c>
      <c r="W5" s="109">
        <f t="shared" si="0"/>
        <v>-1.1479650230079064E-2</v>
      </c>
    </row>
    <row r="6" spans="1:24">
      <c r="A6" t="s">
        <v>20</v>
      </c>
      <c r="B6" s="33"/>
      <c r="C6" s="108">
        <f t="shared" ref="C6:W6" si="1">C5*B7</f>
        <v>0.43250050692060132</v>
      </c>
      <c r="D6" s="220">
        <f t="shared" si="1"/>
        <v>0.62717428707442591</v>
      </c>
      <c r="E6" s="109">
        <f>E5*D7</f>
        <v>0.34536418810041042</v>
      </c>
      <c r="F6" s="109">
        <f t="shared" si="1"/>
        <v>0.25987843964058888</v>
      </c>
      <c r="G6" s="109">
        <f t="shared" si="1"/>
        <v>0.27656123879847788</v>
      </c>
      <c r="H6" s="109">
        <f t="shared" si="1"/>
        <v>0.27954599532714275</v>
      </c>
      <c r="I6" s="109">
        <f t="shared" si="1"/>
        <v>0.1959403118408321</v>
      </c>
      <c r="J6" s="109">
        <f t="shared" si="1"/>
        <v>0.19207438885693004</v>
      </c>
      <c r="K6" s="109">
        <f t="shared" si="1"/>
        <v>0.1790509012032396</v>
      </c>
      <c r="L6" s="109">
        <f t="shared" si="1"/>
        <v>0.12926317246655464</v>
      </c>
      <c r="M6" s="109">
        <f t="shared" si="1"/>
        <v>0.10949280849952756</v>
      </c>
      <c r="N6" s="109">
        <f t="shared" si="1"/>
        <v>2.6980872461182848E-2</v>
      </c>
      <c r="O6" s="109">
        <f t="shared" si="1"/>
        <v>5.9732274211164726E-2</v>
      </c>
      <c r="P6" s="109">
        <f t="shared" si="1"/>
        <v>3.3865710854096349E-2</v>
      </c>
      <c r="Q6" s="109">
        <f t="shared" si="1"/>
        <v>5.7592535419671307E-3</v>
      </c>
      <c r="R6" s="109">
        <f t="shared" si="1"/>
        <v>-1.7795118424213954E-2</v>
      </c>
      <c r="S6" s="109">
        <f t="shared" si="1"/>
        <v>6.0418104933530413E-2</v>
      </c>
      <c r="T6" s="109">
        <f t="shared" si="1"/>
        <v>-3.6427295234921549E-3</v>
      </c>
      <c r="U6" s="109">
        <f t="shared" si="1"/>
        <v>8.6037265138410937E-2</v>
      </c>
      <c r="V6" s="109">
        <f t="shared" si="1"/>
        <v>0.18680397210641456</v>
      </c>
      <c r="W6" s="109">
        <f t="shared" si="1"/>
        <v>-7.8004290400782217E-2</v>
      </c>
    </row>
    <row r="7" spans="1:24">
      <c r="A7" t="s">
        <v>21</v>
      </c>
      <c r="B7" s="106">
        <v>3.33</v>
      </c>
      <c r="C7" s="106">
        <f t="shared" ref="C7:W7" si="2">B7+C6</f>
        <v>3.7625005069206012</v>
      </c>
      <c r="D7" s="221">
        <f t="shared" si="2"/>
        <v>4.3896747939950274</v>
      </c>
      <c r="E7" s="107">
        <f>D7+E6</f>
        <v>4.7350389820954382</v>
      </c>
      <c r="F7" s="107">
        <f t="shared" si="2"/>
        <v>4.9949174217360266</v>
      </c>
      <c r="G7" s="107">
        <f t="shared" si="2"/>
        <v>5.2714786605345045</v>
      </c>
      <c r="H7" s="107">
        <f t="shared" si="2"/>
        <v>5.5510246558616476</v>
      </c>
      <c r="I7" s="107">
        <f t="shared" si="2"/>
        <v>5.7469649677024801</v>
      </c>
      <c r="J7" s="107">
        <f t="shared" si="2"/>
        <v>5.9390393565594097</v>
      </c>
      <c r="K7" s="107">
        <f t="shared" si="2"/>
        <v>6.118090257762649</v>
      </c>
      <c r="L7" s="107">
        <f t="shared" si="2"/>
        <v>6.2473534302292038</v>
      </c>
      <c r="M7" s="107">
        <f t="shared" si="2"/>
        <v>6.356846238728731</v>
      </c>
      <c r="N7" s="107">
        <f t="shared" si="2"/>
        <v>6.3838271111899134</v>
      </c>
      <c r="O7" s="107">
        <f t="shared" si="2"/>
        <v>6.4435593854010778</v>
      </c>
      <c r="P7" s="107">
        <f t="shared" si="2"/>
        <v>6.4774250962551738</v>
      </c>
      <c r="Q7" s="107">
        <f t="shared" si="2"/>
        <v>6.4831843497971411</v>
      </c>
      <c r="R7" s="107">
        <f t="shared" si="2"/>
        <v>6.4653892313729271</v>
      </c>
      <c r="S7" s="107">
        <f t="shared" si="2"/>
        <v>6.5258073363064577</v>
      </c>
      <c r="T7" s="107">
        <f t="shared" si="2"/>
        <v>6.5221646067829653</v>
      </c>
      <c r="U7" s="107">
        <f t="shared" si="2"/>
        <v>6.6082018719213762</v>
      </c>
      <c r="V7" s="107">
        <f t="shared" si="2"/>
        <v>6.7950058440277905</v>
      </c>
      <c r="W7" s="107">
        <f t="shared" si="2"/>
        <v>6.717001553627008</v>
      </c>
      <c r="X7" s="2" t="s">
        <v>309</v>
      </c>
    </row>
    <row r="8" spans="1:24">
      <c r="B8" s="33"/>
      <c r="C8" s="33"/>
      <c r="D8" s="111"/>
    </row>
    <row r="9" spans="1:24">
      <c r="A9" s="4" t="s">
        <v>42</v>
      </c>
      <c r="B9" s="33"/>
      <c r="C9" s="33"/>
      <c r="D9" s="111"/>
    </row>
    <row r="10" spans="1:24">
      <c r="A10" s="26" t="s">
        <v>159</v>
      </c>
      <c r="B10" s="35">
        <v>19.87</v>
      </c>
      <c r="C10" s="33">
        <v>19.87397</v>
      </c>
      <c r="D10" s="111">
        <f>C10+((24.79675-C10)/(2020-C1))</f>
        <v>20.366247999999999</v>
      </c>
      <c r="E10" s="28">
        <f t="shared" ref="E10:L10" si="3">D10+((24.79675-D10)/(2020-D1))</f>
        <v>20.858525999999998</v>
      </c>
      <c r="F10" s="28">
        <f t="shared" si="3"/>
        <v>21.350803999999997</v>
      </c>
      <c r="G10" s="28">
        <f t="shared" si="3"/>
        <v>21.843081999999995</v>
      </c>
      <c r="H10" s="28">
        <f t="shared" si="3"/>
        <v>22.335359999999994</v>
      </c>
      <c r="I10" s="28">
        <f t="shared" si="3"/>
        <v>22.827637999999997</v>
      </c>
      <c r="J10" s="28">
        <f t="shared" si="3"/>
        <v>23.319915999999999</v>
      </c>
      <c r="K10" s="28">
        <f t="shared" si="3"/>
        <v>23.812193999999998</v>
      </c>
      <c r="L10" s="28">
        <f t="shared" si="3"/>
        <v>24.304471999999997</v>
      </c>
      <c r="M10">
        <v>24.796749999999999</v>
      </c>
      <c r="N10" s="28">
        <f>M10+((24.92813-M10)/(2030-M1))</f>
        <v>24.809888000000001</v>
      </c>
      <c r="O10" s="28">
        <f t="shared" ref="O10:V10" si="4">N10+((24.92813-N10)/(2030-N1))</f>
        <v>24.823026000000002</v>
      </c>
      <c r="P10" s="28">
        <f t="shared" si="4"/>
        <v>24.836164000000004</v>
      </c>
      <c r="Q10" s="28">
        <f t="shared" si="4"/>
        <v>24.849302000000002</v>
      </c>
      <c r="R10" s="28">
        <f t="shared" si="4"/>
        <v>24.862439999999999</v>
      </c>
      <c r="S10" s="28">
        <f t="shared" si="4"/>
        <v>24.875578000000001</v>
      </c>
      <c r="T10" s="28">
        <f t="shared" si="4"/>
        <v>24.888716000000002</v>
      </c>
      <c r="U10" s="28">
        <f t="shared" si="4"/>
        <v>24.901854</v>
      </c>
      <c r="V10" s="28">
        <f t="shared" si="4"/>
        <v>24.914991999999998</v>
      </c>
      <c r="W10">
        <v>24.928129999999999</v>
      </c>
      <c r="X10" s="2" t="s">
        <v>307</v>
      </c>
    </row>
    <row r="11" spans="1:24">
      <c r="D11" s="111"/>
    </row>
    <row r="12" spans="1:24">
      <c r="A12" s="4" t="s">
        <v>153</v>
      </c>
      <c r="C12" s="222"/>
      <c r="D12" s="111"/>
    </row>
    <row r="13" spans="1:24">
      <c r="A13" t="s">
        <v>154</v>
      </c>
      <c r="B13" s="107"/>
      <c r="C13" s="223">
        <v>0.33700000000000002</v>
      </c>
      <c r="D13" s="107">
        <v>0.33700000000000002</v>
      </c>
      <c r="E13" s="107">
        <v>0.33700000000000002</v>
      </c>
      <c r="F13" s="107">
        <v>0.33700000000000002</v>
      </c>
      <c r="G13" s="107">
        <v>0.33700000000000002</v>
      </c>
      <c r="H13" s="107">
        <v>0.33700000000000002</v>
      </c>
      <c r="I13" s="107">
        <v>0.33700000000000002</v>
      </c>
      <c r="J13" s="107">
        <v>0.33700000000000002</v>
      </c>
      <c r="K13" s="107">
        <v>0.33700000000000002</v>
      </c>
      <c r="L13" s="107">
        <v>0.33700000000000002</v>
      </c>
      <c r="M13" s="107">
        <v>0.33700000000000002</v>
      </c>
      <c r="N13" s="107">
        <v>0.33700000000000002</v>
      </c>
      <c r="O13" s="107">
        <v>0.33700000000000002</v>
      </c>
      <c r="P13" s="107">
        <v>0.33700000000000002</v>
      </c>
      <c r="Q13" s="107">
        <v>0.33700000000000002</v>
      </c>
      <c r="R13" s="107">
        <v>0.33700000000000002</v>
      </c>
      <c r="S13" s="107">
        <v>0.33700000000000002</v>
      </c>
      <c r="T13" s="107">
        <v>0.33700000000000002</v>
      </c>
      <c r="U13" s="107">
        <v>0.33700000000000002</v>
      </c>
      <c r="V13" s="107">
        <v>0.33700000000000002</v>
      </c>
      <c r="W13" s="107">
        <v>0.33700000000000002</v>
      </c>
      <c r="X13" s="2" t="s">
        <v>191</v>
      </c>
    </row>
    <row r="14" spans="1:24">
      <c r="C14" s="222"/>
    </row>
    <row r="15" spans="1:24">
      <c r="A15" s="4" t="s">
        <v>156</v>
      </c>
      <c r="C15" s="222"/>
    </row>
    <row r="16" spans="1:24" s="28" customFormat="1">
      <c r="A16" s="28" t="s">
        <v>200</v>
      </c>
      <c r="C16" s="222"/>
      <c r="D16" s="28">
        <v>1.5</v>
      </c>
      <c r="E16" s="28">
        <v>1.5</v>
      </c>
      <c r="F16" s="28">
        <f>E16</f>
        <v>1.5</v>
      </c>
      <c r="G16" s="28">
        <f t="shared" ref="G16:W16" si="5">F16</f>
        <v>1.5</v>
      </c>
      <c r="H16" s="28">
        <f t="shared" si="5"/>
        <v>1.5</v>
      </c>
      <c r="I16" s="28">
        <f t="shared" si="5"/>
        <v>1.5</v>
      </c>
      <c r="J16" s="28">
        <f t="shared" si="5"/>
        <v>1.5</v>
      </c>
      <c r="K16" s="28">
        <f t="shared" si="5"/>
        <v>1.5</v>
      </c>
      <c r="L16" s="28">
        <f t="shared" si="5"/>
        <v>1.5</v>
      </c>
      <c r="M16" s="28">
        <f t="shared" si="5"/>
        <v>1.5</v>
      </c>
      <c r="N16" s="28">
        <f t="shared" si="5"/>
        <v>1.5</v>
      </c>
      <c r="O16" s="28">
        <f t="shared" si="5"/>
        <v>1.5</v>
      </c>
      <c r="P16" s="28">
        <f t="shared" si="5"/>
        <v>1.5</v>
      </c>
      <c r="Q16" s="28">
        <f t="shared" si="5"/>
        <v>1.5</v>
      </c>
      <c r="R16" s="28">
        <f t="shared" si="5"/>
        <v>1.5</v>
      </c>
      <c r="S16" s="28">
        <f t="shared" si="5"/>
        <v>1.5</v>
      </c>
      <c r="T16" s="28">
        <f t="shared" si="5"/>
        <v>1.5</v>
      </c>
      <c r="U16" s="28">
        <f t="shared" si="5"/>
        <v>1.5</v>
      </c>
      <c r="V16" s="28">
        <f t="shared" si="5"/>
        <v>1.5</v>
      </c>
      <c r="W16" s="28">
        <f t="shared" si="5"/>
        <v>1.5</v>
      </c>
      <c r="X16" s="2" t="s">
        <v>145</v>
      </c>
    </row>
    <row r="17" spans="1:24" s="28" customFormat="1">
      <c r="A17" s="28" t="s">
        <v>146</v>
      </c>
      <c r="C17" s="222">
        <v>21.2</v>
      </c>
      <c r="D17" s="28">
        <f>C17+((19.9-C17)/(2030-C1))</f>
        <v>21.134999999999998</v>
      </c>
      <c r="E17" s="28">
        <f t="shared" ref="E17:V17" si="6">D17+((19.9-D17)/(2030-D1))</f>
        <v>21.069999999999997</v>
      </c>
      <c r="F17" s="28">
        <f t="shared" si="6"/>
        <v>21.004999999999995</v>
      </c>
      <c r="G17" s="28">
        <f t="shared" si="6"/>
        <v>20.939999999999994</v>
      </c>
      <c r="H17" s="28">
        <f t="shared" si="6"/>
        <v>20.874999999999993</v>
      </c>
      <c r="I17" s="28">
        <f t="shared" si="6"/>
        <v>20.809999999999992</v>
      </c>
      <c r="J17" s="28">
        <f t="shared" si="6"/>
        <v>20.74499999999999</v>
      </c>
      <c r="K17" s="28">
        <f t="shared" si="6"/>
        <v>20.679999999999993</v>
      </c>
      <c r="L17" s="28">
        <f t="shared" si="6"/>
        <v>20.614999999999995</v>
      </c>
      <c r="M17" s="28">
        <f t="shared" si="6"/>
        <v>20.549999999999994</v>
      </c>
      <c r="N17" s="28">
        <f t="shared" si="6"/>
        <v>20.484999999999992</v>
      </c>
      <c r="O17" s="28">
        <f t="shared" si="6"/>
        <v>20.419999999999995</v>
      </c>
      <c r="P17" s="28">
        <f t="shared" si="6"/>
        <v>20.354999999999997</v>
      </c>
      <c r="Q17" s="28">
        <f t="shared" si="6"/>
        <v>20.289999999999996</v>
      </c>
      <c r="R17" s="28">
        <f t="shared" si="6"/>
        <v>20.224999999999994</v>
      </c>
      <c r="S17" s="28">
        <f t="shared" si="6"/>
        <v>20.159999999999997</v>
      </c>
      <c r="T17" s="28">
        <f t="shared" si="6"/>
        <v>20.094999999999999</v>
      </c>
      <c r="U17" s="28">
        <f t="shared" si="6"/>
        <v>20.029999999999998</v>
      </c>
      <c r="V17" s="28">
        <f t="shared" si="6"/>
        <v>19.964999999999996</v>
      </c>
      <c r="W17" s="28">
        <v>19.899999999999999</v>
      </c>
      <c r="X17" s="80" t="s">
        <v>310</v>
      </c>
    </row>
    <row r="18" spans="1:24" s="28" customFormat="1">
      <c r="A18" t="s">
        <v>417</v>
      </c>
      <c r="C18" s="222"/>
      <c r="D18" s="28">
        <f>(D16/D17)+(5/60)</f>
        <v>0.15430565412822334</v>
      </c>
      <c r="E18" s="28">
        <f t="shared" ref="E18:W18" si="7">(E16/E17)+(5/60)</f>
        <v>0.15452460053788958</v>
      </c>
      <c r="F18" s="28">
        <f t="shared" si="7"/>
        <v>0.15474490200745855</v>
      </c>
      <c r="G18" s="28">
        <f t="shared" si="7"/>
        <v>0.15496657115568291</v>
      </c>
      <c r="H18" s="28">
        <f t="shared" si="7"/>
        <v>0.15518962075848305</v>
      </c>
      <c r="I18" s="28">
        <f t="shared" si="7"/>
        <v>0.1554140637514016</v>
      </c>
      <c r="J18" s="28">
        <f t="shared" si="7"/>
        <v>0.15563991323210413</v>
      </c>
      <c r="K18" s="28">
        <f t="shared" si="7"/>
        <v>0.15586718246292716</v>
      </c>
      <c r="L18" s="28">
        <f t="shared" si="7"/>
        <v>0.15609588487347403</v>
      </c>
      <c r="M18" s="28">
        <f t="shared" si="7"/>
        <v>0.15632603406326034</v>
      </c>
      <c r="N18" s="28">
        <f t="shared" si="7"/>
        <v>0.15655764380440976</v>
      </c>
      <c r="O18" s="28">
        <f t="shared" si="7"/>
        <v>0.15679072804440092</v>
      </c>
      <c r="P18" s="28">
        <f t="shared" si="7"/>
        <v>0.15702530090886763</v>
      </c>
      <c r="Q18" s="28">
        <f t="shared" si="7"/>
        <v>0.15726137670445212</v>
      </c>
      <c r="R18" s="28">
        <f t="shared" si="7"/>
        <v>0.15749896992171408</v>
      </c>
      <c r="S18" s="28">
        <f t="shared" si="7"/>
        <v>0.15773809523809523</v>
      </c>
      <c r="T18" s="28">
        <f t="shared" si="7"/>
        <v>0.1579787675209422</v>
      </c>
      <c r="U18" s="28">
        <f t="shared" si="7"/>
        <v>0.15822100183058746</v>
      </c>
      <c r="V18" s="28">
        <f t="shared" si="7"/>
        <v>0.15846481342349111</v>
      </c>
      <c r="W18" s="28">
        <f t="shared" si="7"/>
        <v>0.15871021775544389</v>
      </c>
      <c r="X18" s="80"/>
    </row>
    <row r="19" spans="1:24" s="28" customFormat="1">
      <c r="A19" s="28" t="s">
        <v>195</v>
      </c>
      <c r="C19" s="222"/>
      <c r="D19" s="102">
        <f>'Price Assumptions'!$B$3</f>
        <v>13.91</v>
      </c>
      <c r="E19" s="102">
        <f>'Price Assumptions'!$B$3</f>
        <v>13.91</v>
      </c>
      <c r="F19" s="102">
        <f>'Price Assumptions'!$B$3</f>
        <v>13.91</v>
      </c>
      <c r="G19" s="102">
        <f>'Price Assumptions'!$B$3</f>
        <v>13.91</v>
      </c>
      <c r="H19" s="102">
        <f>'Price Assumptions'!$B$3</f>
        <v>13.91</v>
      </c>
      <c r="I19" s="102">
        <f>'Price Assumptions'!$B$3</f>
        <v>13.91</v>
      </c>
      <c r="J19" s="102">
        <f>'Price Assumptions'!$B$3</f>
        <v>13.91</v>
      </c>
      <c r="K19" s="102">
        <f>'Price Assumptions'!$B$3</f>
        <v>13.91</v>
      </c>
      <c r="L19" s="102">
        <f>'Price Assumptions'!$B$3</f>
        <v>13.91</v>
      </c>
      <c r="M19" s="102">
        <f>'Price Assumptions'!$B$3</f>
        <v>13.91</v>
      </c>
      <c r="N19" s="102">
        <f>'Price Assumptions'!$B$3</f>
        <v>13.91</v>
      </c>
      <c r="O19" s="102">
        <f>'Price Assumptions'!$B$3</f>
        <v>13.91</v>
      </c>
      <c r="P19" s="102">
        <f>'Price Assumptions'!$B$3</f>
        <v>13.91</v>
      </c>
      <c r="Q19" s="102">
        <f>'Price Assumptions'!$B$3</f>
        <v>13.91</v>
      </c>
      <c r="R19" s="102">
        <f>'Price Assumptions'!$B$3</f>
        <v>13.91</v>
      </c>
      <c r="S19" s="102">
        <f>'Price Assumptions'!$B$3</f>
        <v>13.91</v>
      </c>
      <c r="T19" s="102">
        <f>'Price Assumptions'!$B$3</f>
        <v>13.91</v>
      </c>
      <c r="U19" s="102">
        <f>'Price Assumptions'!$B$3</f>
        <v>13.91</v>
      </c>
      <c r="V19" s="102">
        <f>'Price Assumptions'!$B$3</f>
        <v>13.91</v>
      </c>
      <c r="W19" s="102">
        <f>'Price Assumptions'!$B$3</f>
        <v>13.91</v>
      </c>
      <c r="X19" s="80"/>
    </row>
    <row r="20" spans="1:24">
      <c r="A20" s="28" t="s">
        <v>151</v>
      </c>
      <c r="B20" s="28"/>
      <c r="C20" s="128"/>
      <c r="D20" s="128">
        <f>D18*D19</f>
        <v>2.1463916489235868</v>
      </c>
      <c r="E20" s="128">
        <f t="shared" ref="E20:V20" si="8">E18*E19</f>
        <v>2.149437193482044</v>
      </c>
      <c r="F20" s="128">
        <f t="shared" si="8"/>
        <v>2.1525015869237483</v>
      </c>
      <c r="G20" s="128">
        <f t="shared" si="8"/>
        <v>2.1555850047755492</v>
      </c>
      <c r="H20" s="128">
        <f t="shared" si="8"/>
        <v>2.1586876247504994</v>
      </c>
      <c r="I20" s="128">
        <f t="shared" si="8"/>
        <v>2.1618096267819964</v>
      </c>
      <c r="J20" s="128">
        <f t="shared" si="8"/>
        <v>2.1649511930585685</v>
      </c>
      <c r="K20" s="128">
        <f t="shared" si="8"/>
        <v>2.1681125080593167</v>
      </c>
      <c r="L20" s="128">
        <f t="shared" si="8"/>
        <v>2.171293758590024</v>
      </c>
      <c r="M20" s="128">
        <f t="shared" si="8"/>
        <v>2.1744951338199514</v>
      </c>
      <c r="N20" s="128">
        <f t="shared" si="8"/>
        <v>2.1777168253193397</v>
      </c>
      <c r="O20" s="128">
        <f t="shared" si="8"/>
        <v>2.1809590270976167</v>
      </c>
      <c r="P20" s="128">
        <f t="shared" si="8"/>
        <v>2.1842219356423489</v>
      </c>
      <c r="Q20" s="128">
        <f t="shared" si="8"/>
        <v>2.187505749958929</v>
      </c>
      <c r="R20" s="128">
        <f t="shared" si="8"/>
        <v>2.1908106716110427</v>
      </c>
      <c r="S20" s="128">
        <f t="shared" si="8"/>
        <v>2.1941369047619048</v>
      </c>
      <c r="T20" s="128">
        <f t="shared" si="8"/>
        <v>2.197484656216306</v>
      </c>
      <c r="U20" s="128">
        <f t="shared" si="8"/>
        <v>2.2008541354634716</v>
      </c>
      <c r="V20" s="128">
        <f t="shared" si="8"/>
        <v>2.2042455547207616</v>
      </c>
      <c r="W20" s="2"/>
      <c r="X20"/>
    </row>
    <row r="21" spans="1:24" s="28" customFormat="1">
      <c r="A21" s="28" t="s">
        <v>152</v>
      </c>
      <c r="C21" s="222"/>
      <c r="D21" s="121">
        <f>D13*D16</f>
        <v>0.50550000000000006</v>
      </c>
      <c r="E21" s="121">
        <f t="shared" ref="E21:W21" si="9">E13*E16</f>
        <v>0.50550000000000006</v>
      </c>
      <c r="F21" s="121">
        <f t="shared" si="9"/>
        <v>0.50550000000000006</v>
      </c>
      <c r="G21" s="121">
        <f t="shared" si="9"/>
        <v>0.50550000000000006</v>
      </c>
      <c r="H21" s="121">
        <f t="shared" si="9"/>
        <v>0.50550000000000006</v>
      </c>
      <c r="I21" s="121">
        <f t="shared" si="9"/>
        <v>0.50550000000000006</v>
      </c>
      <c r="J21" s="121">
        <f t="shared" si="9"/>
        <v>0.50550000000000006</v>
      </c>
      <c r="K21" s="121">
        <f t="shared" si="9"/>
        <v>0.50550000000000006</v>
      </c>
      <c r="L21" s="121">
        <f t="shared" si="9"/>
        <v>0.50550000000000006</v>
      </c>
      <c r="M21" s="121">
        <f t="shared" si="9"/>
        <v>0.50550000000000006</v>
      </c>
      <c r="N21" s="121">
        <f t="shared" si="9"/>
        <v>0.50550000000000006</v>
      </c>
      <c r="O21" s="121">
        <f t="shared" si="9"/>
        <v>0.50550000000000006</v>
      </c>
      <c r="P21" s="121">
        <f t="shared" si="9"/>
        <v>0.50550000000000006</v>
      </c>
      <c r="Q21" s="121">
        <f t="shared" si="9"/>
        <v>0.50550000000000006</v>
      </c>
      <c r="R21" s="121">
        <f t="shared" si="9"/>
        <v>0.50550000000000006</v>
      </c>
      <c r="S21" s="121">
        <f t="shared" si="9"/>
        <v>0.50550000000000006</v>
      </c>
      <c r="T21" s="121">
        <f t="shared" si="9"/>
        <v>0.50550000000000006</v>
      </c>
      <c r="U21" s="121">
        <f t="shared" si="9"/>
        <v>0.50550000000000006</v>
      </c>
      <c r="V21" s="121">
        <f t="shared" si="9"/>
        <v>0.50550000000000006</v>
      </c>
      <c r="W21" s="121">
        <f t="shared" si="9"/>
        <v>0.50550000000000006</v>
      </c>
      <c r="X21" s="80"/>
    </row>
    <row r="22" spans="1:24">
      <c r="A22" s="4" t="s">
        <v>182</v>
      </c>
      <c r="C22" s="222"/>
    </row>
    <row r="23" spans="1:24" s="28" customFormat="1">
      <c r="A23" s="28" t="s">
        <v>231</v>
      </c>
      <c r="C23" s="222"/>
      <c r="D23" s="102">
        <f>'Price Assumptions'!$B$4</f>
        <v>13.91</v>
      </c>
      <c r="E23" s="102">
        <f>'Price Assumptions'!$B$4</f>
        <v>13.91</v>
      </c>
      <c r="F23" s="102">
        <f>'Price Assumptions'!$B$4</f>
        <v>13.91</v>
      </c>
      <c r="G23" s="102">
        <f>'Price Assumptions'!$B$4</f>
        <v>13.91</v>
      </c>
      <c r="H23" s="102">
        <f>'Price Assumptions'!$B$4</f>
        <v>13.91</v>
      </c>
      <c r="I23" s="102">
        <f>'Price Assumptions'!$B$4</f>
        <v>13.91</v>
      </c>
      <c r="J23" s="102">
        <f>'Price Assumptions'!$B$4</f>
        <v>13.91</v>
      </c>
      <c r="K23" s="102">
        <f>'Price Assumptions'!$B$4</f>
        <v>13.91</v>
      </c>
      <c r="L23" s="102">
        <f>'Price Assumptions'!$B$4</f>
        <v>13.91</v>
      </c>
      <c r="M23" s="102">
        <f>'Price Assumptions'!$B$4</f>
        <v>13.91</v>
      </c>
      <c r="N23" s="102">
        <f>'Price Assumptions'!$B$4</f>
        <v>13.91</v>
      </c>
      <c r="O23" s="102">
        <f>'Price Assumptions'!$B$4</f>
        <v>13.91</v>
      </c>
      <c r="P23" s="102">
        <f>'Price Assumptions'!$B$4</f>
        <v>13.91</v>
      </c>
      <c r="Q23" s="102">
        <f>'Price Assumptions'!$B$4</f>
        <v>13.91</v>
      </c>
      <c r="R23" s="102">
        <f>'Price Assumptions'!$B$4</f>
        <v>13.91</v>
      </c>
      <c r="S23" s="102">
        <f>'Price Assumptions'!$B$4</f>
        <v>13.91</v>
      </c>
      <c r="T23" s="102">
        <f>'Price Assumptions'!$B$4</f>
        <v>13.91</v>
      </c>
      <c r="U23" s="102">
        <f>'Price Assumptions'!$B$4</f>
        <v>13.91</v>
      </c>
      <c r="V23" s="102">
        <f>'Price Assumptions'!$B$4</f>
        <v>13.91</v>
      </c>
      <c r="W23" s="102">
        <f>'Price Assumptions'!$B$4</f>
        <v>13.91</v>
      </c>
      <c r="X23" s="80"/>
    </row>
    <row r="24" spans="1:24" s="28" customFormat="1">
      <c r="A24" t="s">
        <v>147</v>
      </c>
      <c r="C24" s="222"/>
      <c r="D24" s="28">
        <f>(D16/D17)</f>
        <v>7.0972320794890006E-2</v>
      </c>
      <c r="E24" s="28">
        <f t="shared" ref="E24:W24" si="10">(E16/E17)</f>
        <v>7.1191267204556249E-2</v>
      </c>
      <c r="F24" s="28">
        <f t="shared" si="10"/>
        <v>7.1411568674125223E-2</v>
      </c>
      <c r="G24" s="28">
        <f t="shared" si="10"/>
        <v>7.1633237822349594E-2</v>
      </c>
      <c r="H24" s="28">
        <f t="shared" si="10"/>
        <v>7.1856287425149726E-2</v>
      </c>
      <c r="I24" s="28">
        <f t="shared" si="10"/>
        <v>7.208073041806827E-2</v>
      </c>
      <c r="J24" s="28">
        <f t="shared" si="10"/>
        <v>7.2306579898770817E-2</v>
      </c>
      <c r="K24" s="28">
        <f t="shared" si="10"/>
        <v>7.2533849129593833E-2</v>
      </c>
      <c r="L24" s="28">
        <f t="shared" si="10"/>
        <v>7.2762551540140691E-2</v>
      </c>
      <c r="M24" s="28">
        <f t="shared" si="10"/>
        <v>7.2992700729927029E-2</v>
      </c>
      <c r="N24" s="28">
        <f t="shared" si="10"/>
        <v>7.3224310471076429E-2</v>
      </c>
      <c r="O24" s="28">
        <f t="shared" si="10"/>
        <v>7.3457394711067603E-2</v>
      </c>
      <c r="P24" s="28">
        <f t="shared" si="10"/>
        <v>7.3691967575534284E-2</v>
      </c>
      <c r="Q24" s="28">
        <f t="shared" si="10"/>
        <v>7.3928043371118787E-2</v>
      </c>
      <c r="R24" s="28">
        <f t="shared" si="10"/>
        <v>7.416563658838074E-2</v>
      </c>
      <c r="S24" s="28">
        <f t="shared" si="10"/>
        <v>7.4404761904761918E-2</v>
      </c>
      <c r="T24" s="28">
        <f t="shared" si="10"/>
        <v>7.4645434187608856E-2</v>
      </c>
      <c r="U24" s="28">
        <f t="shared" si="10"/>
        <v>7.4887668497254131E-2</v>
      </c>
      <c r="V24" s="28">
        <f t="shared" si="10"/>
        <v>7.5131480090157785E-2</v>
      </c>
      <c r="W24" s="28">
        <f t="shared" si="10"/>
        <v>7.537688442211056E-2</v>
      </c>
      <c r="X24" s="80"/>
    </row>
    <row r="25" spans="1:24">
      <c r="A25" t="s">
        <v>228</v>
      </c>
      <c r="C25" s="223">
        <f>'Price Assumptions'!B23</f>
        <v>5</v>
      </c>
      <c r="D25" s="107">
        <f>C25</f>
        <v>5</v>
      </c>
      <c r="E25" s="107">
        <f>D25</f>
        <v>5</v>
      </c>
      <c r="F25" s="107">
        <f t="shared" ref="F25:W25" si="11">E25</f>
        <v>5</v>
      </c>
      <c r="G25" s="107">
        <f t="shared" si="11"/>
        <v>5</v>
      </c>
      <c r="H25" s="107">
        <f t="shared" si="11"/>
        <v>5</v>
      </c>
      <c r="I25" s="107">
        <f t="shared" si="11"/>
        <v>5</v>
      </c>
      <c r="J25" s="107">
        <f t="shared" si="11"/>
        <v>5</v>
      </c>
      <c r="K25" s="107">
        <f t="shared" si="11"/>
        <v>5</v>
      </c>
      <c r="L25" s="107">
        <f t="shared" si="11"/>
        <v>5</v>
      </c>
      <c r="M25" s="107">
        <f t="shared" si="11"/>
        <v>5</v>
      </c>
      <c r="N25" s="107">
        <f t="shared" si="11"/>
        <v>5</v>
      </c>
      <c r="O25" s="107">
        <f t="shared" si="11"/>
        <v>5</v>
      </c>
      <c r="P25" s="107">
        <f t="shared" si="11"/>
        <v>5</v>
      </c>
      <c r="Q25" s="107">
        <f t="shared" si="11"/>
        <v>5</v>
      </c>
      <c r="R25" s="107">
        <f t="shared" si="11"/>
        <v>5</v>
      </c>
      <c r="S25" s="107">
        <f t="shared" si="11"/>
        <v>5</v>
      </c>
      <c r="T25" s="107">
        <f t="shared" si="11"/>
        <v>5</v>
      </c>
      <c r="U25" s="107">
        <f t="shared" si="11"/>
        <v>5</v>
      </c>
      <c r="V25" s="107">
        <f t="shared" si="11"/>
        <v>5</v>
      </c>
      <c r="W25" s="107">
        <f t="shared" si="11"/>
        <v>5</v>
      </c>
    </row>
    <row r="26" spans="1:24">
      <c r="A26" s="6"/>
    </row>
    <row r="27" spans="1:24" s="28" customFormat="1">
      <c r="A27" t="s">
        <v>398</v>
      </c>
      <c r="C27" s="222"/>
      <c r="D27" s="28">
        <v>6.5</v>
      </c>
      <c r="E27" s="28">
        <v>6.5</v>
      </c>
      <c r="F27" s="28">
        <v>6.5</v>
      </c>
      <c r="G27" s="28">
        <v>6.5</v>
      </c>
      <c r="H27" s="28">
        <v>6.5</v>
      </c>
      <c r="I27" s="28">
        <v>6.5</v>
      </c>
      <c r="J27" s="28">
        <v>6.5</v>
      </c>
      <c r="K27" s="28">
        <v>6.5</v>
      </c>
      <c r="L27" s="28">
        <v>6.5</v>
      </c>
      <c r="M27" s="28">
        <v>6.5</v>
      </c>
      <c r="N27" s="28">
        <v>6.5</v>
      </c>
      <c r="O27" s="28">
        <v>6.5</v>
      </c>
      <c r="P27" s="28">
        <v>6.5</v>
      </c>
      <c r="Q27" s="28">
        <v>6.5</v>
      </c>
      <c r="R27" s="28">
        <v>6.5</v>
      </c>
      <c r="S27" s="28">
        <v>6.5</v>
      </c>
      <c r="T27" s="28">
        <v>6.5</v>
      </c>
      <c r="U27" s="28">
        <v>6.5</v>
      </c>
      <c r="V27" s="28">
        <v>6.5</v>
      </c>
      <c r="W27" s="28">
        <v>6.5</v>
      </c>
      <c r="X27" s="2" t="s">
        <v>145</v>
      </c>
    </row>
    <row r="28" spans="1:24" s="28" customFormat="1">
      <c r="A28" s="28" t="s">
        <v>146</v>
      </c>
      <c r="C28" s="222">
        <v>21.2</v>
      </c>
      <c r="D28" s="28">
        <f t="shared" ref="D28:W28" si="12">C28+((19.9-C28)/(2030-C1))</f>
        <v>21.134999999999998</v>
      </c>
      <c r="E28" s="28">
        <f t="shared" si="12"/>
        <v>21.069999999999997</v>
      </c>
      <c r="F28" s="28">
        <f t="shared" si="12"/>
        <v>21.004999999999995</v>
      </c>
      <c r="G28" s="28">
        <f t="shared" si="12"/>
        <v>20.939999999999994</v>
      </c>
      <c r="H28" s="28">
        <f t="shared" si="12"/>
        <v>20.874999999999993</v>
      </c>
      <c r="I28" s="28">
        <f t="shared" si="12"/>
        <v>20.809999999999992</v>
      </c>
      <c r="J28" s="28">
        <f t="shared" si="12"/>
        <v>20.74499999999999</v>
      </c>
      <c r="K28" s="28">
        <f t="shared" si="12"/>
        <v>20.679999999999993</v>
      </c>
      <c r="L28" s="28">
        <f t="shared" si="12"/>
        <v>20.614999999999995</v>
      </c>
      <c r="M28" s="28">
        <f t="shared" si="12"/>
        <v>20.549999999999994</v>
      </c>
      <c r="N28" s="28">
        <f t="shared" si="12"/>
        <v>20.484999999999992</v>
      </c>
      <c r="O28" s="28">
        <f t="shared" si="12"/>
        <v>20.419999999999995</v>
      </c>
      <c r="P28" s="28">
        <f t="shared" si="12"/>
        <v>20.354999999999997</v>
      </c>
      <c r="Q28" s="28">
        <f t="shared" si="12"/>
        <v>20.289999999999996</v>
      </c>
      <c r="R28" s="28">
        <f t="shared" si="12"/>
        <v>20.224999999999994</v>
      </c>
      <c r="S28" s="28">
        <f t="shared" si="12"/>
        <v>20.159999999999997</v>
      </c>
      <c r="T28" s="28">
        <f t="shared" si="12"/>
        <v>20.094999999999999</v>
      </c>
      <c r="U28" s="28">
        <f t="shared" si="12"/>
        <v>20.029999999999998</v>
      </c>
      <c r="V28" s="28">
        <f t="shared" si="12"/>
        <v>19.964999999999996</v>
      </c>
      <c r="W28" s="28">
        <f t="shared" si="12"/>
        <v>19.899999999999999</v>
      </c>
      <c r="X28" s="80" t="s">
        <v>310</v>
      </c>
    </row>
    <row r="29" spans="1:24" s="28" customFormat="1">
      <c r="A29" t="s">
        <v>416</v>
      </c>
      <c r="C29" s="222"/>
      <c r="D29" s="28">
        <f>(D27/D28)+(5/60)</f>
        <v>0.39088005677785664</v>
      </c>
      <c r="E29" s="28">
        <f t="shared" ref="E29:W29" si="13">(E27/E28)+(5/60)</f>
        <v>0.39182882455307705</v>
      </c>
      <c r="F29" s="28">
        <f t="shared" si="13"/>
        <v>0.39278346425454264</v>
      </c>
      <c r="G29" s="28">
        <f t="shared" si="13"/>
        <v>0.39374403056351487</v>
      </c>
      <c r="H29" s="28">
        <f t="shared" si="13"/>
        <v>0.39471057884231547</v>
      </c>
      <c r="I29" s="28">
        <f t="shared" si="13"/>
        <v>0.39568316514496249</v>
      </c>
      <c r="J29" s="28">
        <f t="shared" si="13"/>
        <v>0.39666184622800688</v>
      </c>
      <c r="K29" s="28">
        <f t="shared" si="13"/>
        <v>0.39764667956157329</v>
      </c>
      <c r="L29" s="28">
        <f t="shared" si="13"/>
        <v>0.39863772334060965</v>
      </c>
      <c r="M29" s="28">
        <f t="shared" si="13"/>
        <v>0.39963503649635046</v>
      </c>
      <c r="N29" s="28">
        <f t="shared" si="13"/>
        <v>0.4006386787079978</v>
      </c>
      <c r="O29" s="28">
        <f t="shared" si="13"/>
        <v>0.40164871041462624</v>
      </c>
      <c r="P29" s="28">
        <f t="shared" si="13"/>
        <v>0.40266519282731517</v>
      </c>
      <c r="Q29" s="28">
        <f t="shared" si="13"/>
        <v>0.40368818794151473</v>
      </c>
      <c r="R29" s="28">
        <f t="shared" si="13"/>
        <v>0.40471775854964986</v>
      </c>
      <c r="S29" s="28">
        <f t="shared" si="13"/>
        <v>0.40575396825396831</v>
      </c>
      <c r="T29" s="28">
        <f t="shared" si="13"/>
        <v>0.40679688147963838</v>
      </c>
      <c r="U29" s="28">
        <f t="shared" si="13"/>
        <v>0.40784656348810122</v>
      </c>
      <c r="V29" s="28">
        <f t="shared" si="13"/>
        <v>0.40890308039068374</v>
      </c>
      <c r="W29" s="28">
        <f t="shared" si="13"/>
        <v>0.40996649916247907</v>
      </c>
      <c r="X29" s="80"/>
    </row>
    <row r="30" spans="1:24" s="28" customFormat="1">
      <c r="A30" s="28" t="s">
        <v>195</v>
      </c>
      <c r="C30" s="222"/>
      <c r="D30" s="102">
        <f>'Price Assumptions'!$B$3</f>
        <v>13.91</v>
      </c>
      <c r="E30" s="102">
        <f>'Price Assumptions'!$B$3</f>
        <v>13.91</v>
      </c>
      <c r="F30" s="102">
        <f>'Price Assumptions'!$B$3</f>
        <v>13.91</v>
      </c>
      <c r="G30" s="102">
        <f>'Price Assumptions'!$B$3</f>
        <v>13.91</v>
      </c>
      <c r="H30" s="102">
        <f>'Price Assumptions'!$B$3</f>
        <v>13.91</v>
      </c>
      <c r="I30" s="102">
        <f>'Price Assumptions'!$B$3</f>
        <v>13.91</v>
      </c>
      <c r="J30" s="102">
        <f>'Price Assumptions'!$B$3</f>
        <v>13.91</v>
      </c>
      <c r="K30" s="102">
        <f>'Price Assumptions'!$B$3</f>
        <v>13.91</v>
      </c>
      <c r="L30" s="102">
        <f>'Price Assumptions'!$B$3</f>
        <v>13.91</v>
      </c>
      <c r="M30" s="102">
        <f>'Price Assumptions'!$B$3</f>
        <v>13.91</v>
      </c>
      <c r="N30" s="102">
        <f>'Price Assumptions'!$B$3</f>
        <v>13.91</v>
      </c>
      <c r="O30" s="102">
        <f>'Price Assumptions'!$B$3</f>
        <v>13.91</v>
      </c>
      <c r="P30" s="102">
        <f>'Price Assumptions'!$B$3</f>
        <v>13.91</v>
      </c>
      <c r="Q30" s="102">
        <f>'Price Assumptions'!$B$3</f>
        <v>13.91</v>
      </c>
      <c r="R30" s="102">
        <f>'Price Assumptions'!$B$3</f>
        <v>13.91</v>
      </c>
      <c r="S30" s="102">
        <f>'Price Assumptions'!$B$3</f>
        <v>13.91</v>
      </c>
      <c r="T30" s="102">
        <f>'Price Assumptions'!$B$3</f>
        <v>13.91</v>
      </c>
      <c r="U30" s="102">
        <f>'Price Assumptions'!$B$3</f>
        <v>13.91</v>
      </c>
      <c r="V30" s="102">
        <f>'Price Assumptions'!$B$3</f>
        <v>13.91</v>
      </c>
      <c r="W30" s="102">
        <f>'Price Assumptions'!$B$3</f>
        <v>13.91</v>
      </c>
      <c r="X30" s="80"/>
    </row>
    <row r="31" spans="1:24">
      <c r="A31" s="28" t="s">
        <v>151</v>
      </c>
      <c r="B31" s="28"/>
      <c r="C31" s="128"/>
      <c r="D31" s="128">
        <f>D29*D30</f>
        <v>5.4371415897799862</v>
      </c>
      <c r="E31" s="128">
        <f t="shared" ref="E31:V31" si="14">E29*E30</f>
        <v>5.4503389495333021</v>
      </c>
      <c r="F31" s="128">
        <f t="shared" si="14"/>
        <v>5.4636179877806885</v>
      </c>
      <c r="G31" s="128">
        <f t="shared" si="14"/>
        <v>5.4769794651384922</v>
      </c>
      <c r="H31" s="128">
        <f t="shared" si="14"/>
        <v>5.4904241516966081</v>
      </c>
      <c r="I31" s="128">
        <f t="shared" si="14"/>
        <v>5.5039528271664286</v>
      </c>
      <c r="J31" s="128">
        <f t="shared" si="14"/>
        <v>5.5175662810315753</v>
      </c>
      <c r="K31" s="128">
        <f t="shared" si="14"/>
        <v>5.5312653127014846</v>
      </c>
      <c r="L31" s="128">
        <f t="shared" si="14"/>
        <v>5.5450507316678799</v>
      </c>
      <c r="M31" s="128">
        <f t="shared" si="14"/>
        <v>5.5589233576642352</v>
      </c>
      <c r="N31" s="128">
        <f t="shared" si="14"/>
        <v>5.5728840208282495</v>
      </c>
      <c r="O31" s="128">
        <f t="shared" si="14"/>
        <v>5.5869335618674514</v>
      </c>
      <c r="P31" s="128">
        <f t="shared" si="14"/>
        <v>5.6010728322279544</v>
      </c>
      <c r="Q31" s="128">
        <f t="shared" si="14"/>
        <v>5.6153026942664699</v>
      </c>
      <c r="R31" s="128">
        <f t="shared" si="14"/>
        <v>5.6296240214256299</v>
      </c>
      <c r="S31" s="128">
        <f t="shared" si="14"/>
        <v>5.6440376984126992</v>
      </c>
      <c r="T31" s="128">
        <f t="shared" si="14"/>
        <v>5.6585446213817701</v>
      </c>
      <c r="U31" s="128">
        <f t="shared" si="14"/>
        <v>5.6731456981194883</v>
      </c>
      <c r="V31" s="128">
        <f t="shared" si="14"/>
        <v>5.6878418482344104</v>
      </c>
      <c r="W31" s="2"/>
      <c r="X31"/>
    </row>
    <row r="32" spans="1:24" s="28" customFormat="1">
      <c r="A32" s="28" t="s">
        <v>152</v>
      </c>
      <c r="C32" s="222"/>
      <c r="D32" s="121">
        <f t="shared" ref="D32:W32" si="15">D13*D27</f>
        <v>2.1905000000000001</v>
      </c>
      <c r="E32" s="121">
        <f t="shared" si="15"/>
        <v>2.1905000000000001</v>
      </c>
      <c r="F32" s="121">
        <f t="shared" si="15"/>
        <v>2.1905000000000001</v>
      </c>
      <c r="G32" s="121">
        <f t="shared" si="15"/>
        <v>2.1905000000000001</v>
      </c>
      <c r="H32" s="121">
        <f t="shared" si="15"/>
        <v>2.1905000000000001</v>
      </c>
      <c r="I32" s="121">
        <f t="shared" si="15"/>
        <v>2.1905000000000001</v>
      </c>
      <c r="J32" s="121">
        <f t="shared" si="15"/>
        <v>2.1905000000000001</v>
      </c>
      <c r="K32" s="121">
        <f t="shared" si="15"/>
        <v>2.1905000000000001</v>
      </c>
      <c r="L32" s="121">
        <f t="shared" si="15"/>
        <v>2.1905000000000001</v>
      </c>
      <c r="M32" s="121">
        <f t="shared" si="15"/>
        <v>2.1905000000000001</v>
      </c>
      <c r="N32" s="121">
        <f t="shared" si="15"/>
        <v>2.1905000000000001</v>
      </c>
      <c r="O32" s="121">
        <f t="shared" si="15"/>
        <v>2.1905000000000001</v>
      </c>
      <c r="P32" s="121">
        <f t="shared" si="15"/>
        <v>2.1905000000000001</v>
      </c>
      <c r="Q32" s="121">
        <f t="shared" si="15"/>
        <v>2.1905000000000001</v>
      </c>
      <c r="R32" s="121">
        <f t="shared" si="15"/>
        <v>2.1905000000000001</v>
      </c>
      <c r="S32" s="121">
        <f t="shared" si="15"/>
        <v>2.1905000000000001</v>
      </c>
      <c r="T32" s="121">
        <f t="shared" si="15"/>
        <v>2.1905000000000001</v>
      </c>
      <c r="U32" s="121">
        <f t="shared" si="15"/>
        <v>2.1905000000000001</v>
      </c>
      <c r="V32" s="121">
        <f t="shared" si="15"/>
        <v>2.1905000000000001</v>
      </c>
      <c r="W32" s="121">
        <f t="shared" si="15"/>
        <v>2.1905000000000001</v>
      </c>
      <c r="X32" s="80"/>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1</vt:i4>
      </vt:variant>
    </vt:vector>
  </HeadingPairs>
  <TitlesOfParts>
    <vt:vector size="14" baseType="lpstr">
      <vt:lpstr>Summary Table</vt:lpstr>
      <vt:lpstr>Bike Sharing CBA</vt:lpstr>
      <vt:lpstr>Cost Assumptions</vt:lpstr>
      <vt:lpstr>Bike Ops (existing DC bikes)</vt:lpstr>
      <vt:lpstr>Bike Operating Assumptions</vt:lpstr>
      <vt:lpstr>Bikestations</vt:lpstr>
      <vt:lpstr>Bike Crash Data</vt:lpstr>
      <vt:lpstr>Bike Mode Shifts</vt:lpstr>
      <vt:lpstr>Auto Operating Assumptions</vt:lpstr>
      <vt:lpstr>Other Mode Assumptions</vt:lpstr>
      <vt:lpstr>Emissions Assumptions</vt:lpstr>
      <vt:lpstr>Price Assumptions</vt:lpstr>
      <vt:lpstr>Basic Assumptions</vt:lpstr>
      <vt:lpstr>Bike-sharing CB Chart</vt:lpstr>
    </vt:vector>
  </TitlesOfParts>
  <Company>MWCOG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mbansal</dc:creator>
  <cp:lastModifiedBy>Paul J. DeMaio</cp:lastModifiedBy>
  <dcterms:created xsi:type="dcterms:W3CDTF">2009-08-12T14:10:49Z</dcterms:created>
  <dcterms:modified xsi:type="dcterms:W3CDTF">2011-11-15T13:54:05Z</dcterms:modified>
</cp:coreProperties>
</file>